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90" yWindow="480" windowWidth="17865" windowHeight="6390" tabRatio="1000" firstSheet="7" activeTab="8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konania'!$A$1:$B$17</definedName>
    <definedName name="_xlnm.Print_Area" localSheetId="22">'18 HI pozastavene, odňatie '!$A$1:$C$11</definedName>
    <definedName name="_xlnm.Print_Area" localSheetId="16">'T12 záverečné práce'!$A$1:$K$7</definedName>
    <definedName name="_xlnm.Print_Area" localSheetId="24">'T20 Ostatné (nevýsk.) projekty'!$A$1:$L$16</definedName>
    <definedName name="_xlnm.Print_Area" localSheetId="5">'T3a - I.stupeň prijatia'!$A$1:$J$26</definedName>
    <definedName name="_xlnm.Print_Area" localSheetId="7">'T3C - III stupeň prijatia'!$A$1:$J$37</definedName>
    <definedName name="_xlnm.Print_Area" localSheetId="13">'T9 výberové konania'!$A$1:$M$25</definedName>
  </definedNames>
  <calcPr calcId="145621"/>
</workbook>
</file>

<file path=xl/calcChain.xml><?xml version="1.0" encoding="utf-8"?>
<calcChain xmlns="http://schemas.openxmlformats.org/spreadsheetml/2006/main">
  <c r="K22" i="9" l="1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C22" i="9"/>
  <c r="C23" i="9" s="1"/>
  <c r="B22" i="9"/>
  <c r="B23" i="9" s="1"/>
  <c r="B24" i="10" l="1"/>
  <c r="B25" i="10" s="1"/>
  <c r="D24" i="10"/>
  <c r="D25" i="10" s="1"/>
  <c r="C24" i="10" l="1"/>
  <c r="C25" i="10" s="1"/>
  <c r="C12" i="19" l="1"/>
  <c r="B12" i="19"/>
  <c r="I6" i="19"/>
  <c r="H6" i="19"/>
  <c r="G6" i="19"/>
  <c r="F6" i="19"/>
  <c r="E6" i="19"/>
  <c r="D6" i="19"/>
  <c r="B6" i="19"/>
  <c r="C6" i="19" s="1"/>
  <c r="B15" i="13"/>
  <c r="M9" i="13"/>
  <c r="L9" i="13"/>
  <c r="K9" i="13"/>
  <c r="J9" i="13"/>
  <c r="I9" i="13"/>
  <c r="G9" i="13"/>
  <c r="G14" i="13" s="1"/>
  <c r="F9" i="13"/>
  <c r="F14" i="13" s="1"/>
  <c r="E9" i="13"/>
  <c r="E14" i="13" s="1"/>
  <c r="D9" i="13"/>
  <c r="D14" i="13" s="1"/>
  <c r="C9" i="13"/>
  <c r="C14" i="13" s="1"/>
  <c r="H8" i="13"/>
  <c r="B8" i="13"/>
  <c r="H7" i="13"/>
  <c r="B7" i="13"/>
  <c r="H6" i="13"/>
  <c r="B6" i="13"/>
  <c r="H5" i="13"/>
  <c r="B5" i="13"/>
  <c r="H4" i="13"/>
  <c r="B4" i="13"/>
  <c r="B9" i="13" l="1"/>
  <c r="H9" i="13"/>
  <c r="L10" i="13" l="1"/>
  <c r="H10" i="13"/>
  <c r="K10" i="13"/>
  <c r="J10" i="13"/>
  <c r="D10" i="13"/>
  <c r="D15" i="13" s="1"/>
  <c r="G10" i="13"/>
  <c r="G15" i="13" s="1"/>
  <c r="C10" i="13"/>
  <c r="C15" i="13" s="1"/>
  <c r="F10" i="13"/>
  <c r="F15" i="13" s="1"/>
  <c r="B14" i="13"/>
  <c r="M10" i="13"/>
  <c r="E10" i="13"/>
  <c r="E15" i="13" s="1"/>
  <c r="I10" i="13"/>
  <c r="E7" i="18" l="1"/>
  <c r="D7" i="18"/>
  <c r="G6" i="18"/>
  <c r="F6" i="18"/>
  <c r="E6" i="18"/>
  <c r="D6" i="18"/>
  <c r="C6" i="18"/>
  <c r="B6" i="18"/>
  <c r="G5" i="18"/>
  <c r="F5" i="18"/>
  <c r="E5" i="18"/>
  <c r="D5" i="18"/>
  <c r="C5" i="18"/>
  <c r="B5" i="18"/>
  <c r="K4" i="18"/>
  <c r="J4" i="18"/>
  <c r="I4" i="18"/>
  <c r="H4" i="18"/>
  <c r="G4" i="18"/>
  <c r="F4" i="18"/>
  <c r="E4" i="18"/>
  <c r="D4" i="18"/>
  <c r="C4" i="18"/>
  <c r="B4" i="18"/>
  <c r="K3" i="18"/>
  <c r="K7" i="18" s="1"/>
  <c r="J3" i="18"/>
  <c r="J7" i="18" s="1"/>
  <c r="I3" i="18"/>
  <c r="I7" i="18" s="1"/>
  <c r="H3" i="18"/>
  <c r="H7" i="18" s="1"/>
  <c r="G3" i="18"/>
  <c r="G7" i="18" s="1"/>
  <c r="F3" i="18"/>
  <c r="F7" i="18" s="1"/>
  <c r="E3" i="18"/>
  <c r="D3" i="18"/>
  <c r="C3" i="18"/>
  <c r="C7" i="18" s="1"/>
  <c r="B3" i="18"/>
  <c r="B7" i="18" s="1"/>
  <c r="I32" i="36"/>
  <c r="H32" i="36"/>
  <c r="F32" i="36"/>
  <c r="I31" i="36"/>
  <c r="H31" i="36"/>
  <c r="G31" i="36"/>
  <c r="F31" i="36"/>
  <c r="D31" i="36"/>
  <c r="I30" i="36"/>
  <c r="H30" i="36"/>
  <c r="G30" i="36"/>
  <c r="F30" i="36"/>
  <c r="E30" i="36"/>
  <c r="D30" i="36"/>
  <c r="I29" i="36"/>
  <c r="H29" i="36"/>
  <c r="G29" i="36"/>
  <c r="F29" i="36"/>
  <c r="E29" i="36"/>
  <c r="D29" i="36"/>
  <c r="I18" i="36"/>
  <c r="H18" i="36"/>
  <c r="G18" i="36"/>
  <c r="F18" i="36"/>
  <c r="E18" i="36"/>
  <c r="D18" i="36"/>
  <c r="I17" i="36"/>
  <c r="H17" i="36"/>
  <c r="G17" i="36"/>
  <c r="F17" i="36"/>
  <c r="E17" i="36"/>
  <c r="D17" i="36"/>
  <c r="I16" i="36"/>
  <c r="H16" i="36"/>
  <c r="G16" i="36"/>
  <c r="F16" i="36"/>
  <c r="E16" i="36"/>
  <c r="D16" i="36"/>
  <c r="I8" i="36"/>
  <c r="H8" i="36"/>
  <c r="G8" i="36"/>
  <c r="F8" i="36"/>
  <c r="E8" i="36"/>
  <c r="D8" i="36"/>
  <c r="I7" i="36"/>
  <c r="H7" i="36"/>
  <c r="G7" i="36"/>
  <c r="F7" i="36"/>
  <c r="E7" i="36"/>
  <c r="D7" i="36"/>
  <c r="I6" i="36"/>
  <c r="H6" i="36"/>
  <c r="G6" i="36"/>
  <c r="F6" i="36"/>
  <c r="E6" i="36"/>
  <c r="D6" i="36"/>
  <c r="I5" i="36"/>
  <c r="H5" i="36"/>
  <c r="G5" i="36"/>
  <c r="F5" i="36"/>
  <c r="E5" i="36"/>
  <c r="D5" i="36"/>
  <c r="G18" i="3"/>
  <c r="D18" i="3"/>
  <c r="C18" i="3"/>
  <c r="J17" i="3"/>
  <c r="I17" i="3"/>
  <c r="H17" i="3"/>
  <c r="G17" i="3"/>
  <c r="F17" i="3"/>
  <c r="E17" i="3"/>
  <c r="D17" i="3"/>
  <c r="C17" i="3"/>
  <c r="G16" i="3"/>
  <c r="D16" i="3"/>
  <c r="C16" i="3"/>
  <c r="H15" i="3"/>
  <c r="G15" i="3"/>
  <c r="G19" i="3" s="1"/>
  <c r="D15" i="3"/>
  <c r="D19" i="3" s="1"/>
  <c r="C15" i="3"/>
  <c r="C19" i="3" s="1"/>
  <c r="G14" i="3"/>
  <c r="D14" i="3"/>
  <c r="C14" i="3"/>
  <c r="J13" i="3"/>
  <c r="I13" i="3"/>
  <c r="H13" i="3"/>
  <c r="H18" i="3" s="1"/>
  <c r="F13" i="3"/>
  <c r="F18" i="3" s="1"/>
  <c r="E13" i="3"/>
  <c r="D13" i="3"/>
  <c r="C13" i="3"/>
  <c r="J11" i="3"/>
  <c r="J16" i="3" s="1"/>
  <c r="I11" i="3"/>
  <c r="H11" i="3"/>
  <c r="G11" i="3"/>
  <c r="F11" i="3"/>
  <c r="F16" i="3" s="1"/>
  <c r="E11" i="3"/>
  <c r="D11" i="3"/>
  <c r="C11" i="3"/>
  <c r="J10" i="3"/>
  <c r="J14" i="3" s="1"/>
  <c r="I10" i="3"/>
  <c r="I14" i="3" s="1"/>
  <c r="H10" i="3"/>
  <c r="G10" i="3"/>
  <c r="F10" i="3"/>
  <c r="F15" i="3" s="1"/>
  <c r="F19" i="3" s="1"/>
  <c r="E10" i="3"/>
  <c r="E14" i="3" s="1"/>
  <c r="D10" i="3"/>
  <c r="C10" i="3"/>
  <c r="F9" i="3"/>
  <c r="D9" i="3"/>
  <c r="J8" i="3"/>
  <c r="J18" i="3" s="1"/>
  <c r="I8" i="3"/>
  <c r="I18" i="3" s="1"/>
  <c r="H8" i="3"/>
  <c r="G8" i="3"/>
  <c r="E8" i="3"/>
  <c r="E18" i="3" s="1"/>
  <c r="C8" i="3"/>
  <c r="J6" i="3"/>
  <c r="I6" i="3"/>
  <c r="I16" i="3" s="1"/>
  <c r="H6" i="3"/>
  <c r="H16" i="3" s="1"/>
  <c r="G6" i="3"/>
  <c r="E6" i="3"/>
  <c r="E16" i="3" s="1"/>
  <c r="C6" i="3"/>
  <c r="C9" i="3" s="1"/>
  <c r="J5" i="3"/>
  <c r="J15" i="3" s="1"/>
  <c r="I5" i="3"/>
  <c r="I9" i="3" s="1"/>
  <c r="H5" i="3"/>
  <c r="H9" i="3" s="1"/>
  <c r="G5" i="3"/>
  <c r="G9" i="3" s="1"/>
  <c r="E5" i="3"/>
  <c r="E9" i="3" s="1"/>
  <c r="C5" i="3"/>
  <c r="E36" i="6"/>
  <c r="D36" i="6"/>
  <c r="C36" i="6"/>
  <c r="B36" i="6"/>
  <c r="I35" i="6"/>
  <c r="H35" i="6"/>
  <c r="G35" i="6"/>
  <c r="F35" i="6"/>
  <c r="I34" i="6"/>
  <c r="H34" i="6"/>
  <c r="G34" i="6"/>
  <c r="F34" i="6"/>
  <c r="I32" i="6"/>
  <c r="H32" i="6"/>
  <c r="G32" i="6"/>
  <c r="F32" i="6"/>
  <c r="I26" i="6"/>
  <c r="H26" i="6"/>
  <c r="G26" i="6"/>
  <c r="F26" i="6"/>
  <c r="I25" i="6"/>
  <c r="H25" i="6"/>
  <c r="G25" i="6"/>
  <c r="F25" i="6"/>
  <c r="E24" i="6"/>
  <c r="D24" i="6"/>
  <c r="C24" i="6"/>
  <c r="B24" i="6"/>
  <c r="E23" i="6"/>
  <c r="E27" i="6" s="1"/>
  <c r="D23" i="6"/>
  <c r="D27" i="6" s="1"/>
  <c r="C23" i="6"/>
  <c r="B23" i="6"/>
  <c r="B27" i="6" s="1"/>
  <c r="I22" i="6"/>
  <c r="H22" i="6"/>
  <c r="G22" i="6"/>
  <c r="F22" i="6"/>
  <c r="J17" i="6"/>
  <c r="I17" i="6"/>
  <c r="H17" i="6"/>
  <c r="G17" i="6"/>
  <c r="J16" i="6"/>
  <c r="I16" i="6"/>
  <c r="H16" i="6"/>
  <c r="G16" i="6"/>
  <c r="F15" i="6"/>
  <c r="E15" i="6"/>
  <c r="D15" i="6"/>
  <c r="C15" i="6"/>
  <c r="B15" i="6"/>
  <c r="F14" i="6"/>
  <c r="E14" i="6"/>
  <c r="D14" i="6"/>
  <c r="C14" i="6"/>
  <c r="B14" i="6"/>
  <c r="J13" i="6"/>
  <c r="I13" i="6"/>
  <c r="H13" i="6"/>
  <c r="G13" i="6"/>
  <c r="J8" i="6"/>
  <c r="I8" i="6"/>
  <c r="H8" i="6"/>
  <c r="G8" i="6"/>
  <c r="J7" i="6"/>
  <c r="I7" i="6"/>
  <c r="H7" i="6"/>
  <c r="G7" i="6"/>
  <c r="F6" i="6"/>
  <c r="E6" i="6"/>
  <c r="D6" i="6"/>
  <c r="C6" i="6"/>
  <c r="B6" i="6"/>
  <c r="F5" i="6"/>
  <c r="I33" i="6" s="1"/>
  <c r="E5" i="6"/>
  <c r="D5" i="6"/>
  <c r="C5" i="6"/>
  <c r="B5" i="6"/>
  <c r="B9" i="6" s="1"/>
  <c r="J4" i="6"/>
  <c r="I4" i="6"/>
  <c r="H4" i="6"/>
  <c r="G4" i="6"/>
  <c r="E34" i="5"/>
  <c r="D34" i="5"/>
  <c r="C34" i="5"/>
  <c r="B34" i="5"/>
  <c r="I32" i="5"/>
  <c r="H32" i="5"/>
  <c r="G32" i="5"/>
  <c r="F32" i="5"/>
  <c r="I27" i="5"/>
  <c r="H27" i="5"/>
  <c r="G27" i="5"/>
  <c r="F27" i="5"/>
  <c r="I26" i="5"/>
  <c r="H26" i="5"/>
  <c r="G26" i="5"/>
  <c r="F26" i="5"/>
  <c r="E25" i="5"/>
  <c r="D25" i="5"/>
  <c r="C25" i="5"/>
  <c r="B25" i="5"/>
  <c r="E24" i="5"/>
  <c r="E28" i="5" s="1"/>
  <c r="D24" i="5"/>
  <c r="D28" i="5" s="1"/>
  <c r="C24" i="5"/>
  <c r="C28" i="5" s="1"/>
  <c r="B24" i="5"/>
  <c r="I23" i="5"/>
  <c r="H23" i="5"/>
  <c r="G23" i="5"/>
  <c r="F23" i="5"/>
  <c r="J18" i="5"/>
  <c r="I18" i="5"/>
  <c r="H18" i="5"/>
  <c r="G18" i="5"/>
  <c r="J17" i="5"/>
  <c r="I17" i="5"/>
  <c r="H17" i="5"/>
  <c r="G17" i="5"/>
  <c r="J16" i="5"/>
  <c r="I16" i="5"/>
  <c r="H16" i="5"/>
  <c r="G16" i="5"/>
  <c r="F15" i="5"/>
  <c r="F19" i="5" s="1"/>
  <c r="E15" i="5"/>
  <c r="D15" i="5"/>
  <c r="D19" i="5" s="1"/>
  <c r="C15" i="5"/>
  <c r="B15" i="5"/>
  <c r="B19" i="5" s="1"/>
  <c r="J14" i="5"/>
  <c r="I14" i="5"/>
  <c r="H14" i="5"/>
  <c r="G14" i="5"/>
  <c r="J9" i="5"/>
  <c r="I9" i="5"/>
  <c r="H9" i="5"/>
  <c r="G9" i="5"/>
  <c r="J8" i="5"/>
  <c r="I8" i="5"/>
  <c r="H8" i="5"/>
  <c r="G8" i="5"/>
  <c r="J7" i="5"/>
  <c r="I7" i="5"/>
  <c r="H7" i="5"/>
  <c r="G7" i="5"/>
  <c r="F6" i="5"/>
  <c r="E6" i="5"/>
  <c r="D6" i="5"/>
  <c r="C6" i="5"/>
  <c r="B6" i="5"/>
  <c r="F5" i="5"/>
  <c r="E5" i="5"/>
  <c r="D5" i="5"/>
  <c r="C5" i="5"/>
  <c r="B5" i="5"/>
  <c r="J4" i="5"/>
  <c r="I4" i="5"/>
  <c r="H4" i="5"/>
  <c r="G4" i="5"/>
  <c r="I24" i="4"/>
  <c r="H24" i="4"/>
  <c r="G24" i="4"/>
  <c r="F24" i="4"/>
  <c r="E23" i="4"/>
  <c r="E25" i="4" s="1"/>
  <c r="D23" i="4"/>
  <c r="D25" i="4" s="1"/>
  <c r="C23" i="4"/>
  <c r="B23" i="4"/>
  <c r="I22" i="4"/>
  <c r="H22" i="4"/>
  <c r="G22" i="4"/>
  <c r="F22" i="4"/>
  <c r="J17" i="4"/>
  <c r="I17" i="4"/>
  <c r="H17" i="4"/>
  <c r="G17" i="4"/>
  <c r="J16" i="4"/>
  <c r="I16" i="4"/>
  <c r="H16" i="4"/>
  <c r="G16" i="4"/>
  <c r="F15" i="4"/>
  <c r="E15" i="4"/>
  <c r="D15" i="4"/>
  <c r="C15" i="4"/>
  <c r="B15" i="4"/>
  <c r="F14" i="4"/>
  <c r="E14" i="4"/>
  <c r="D14" i="4"/>
  <c r="C14" i="4"/>
  <c r="B14" i="4"/>
  <c r="J13" i="4"/>
  <c r="I13" i="4"/>
  <c r="H13" i="4"/>
  <c r="G13" i="4"/>
  <c r="J8" i="4"/>
  <c r="I8" i="4"/>
  <c r="H8" i="4"/>
  <c r="G8" i="4"/>
  <c r="J7" i="4"/>
  <c r="I7" i="4"/>
  <c r="H7" i="4"/>
  <c r="G7" i="4"/>
  <c r="F6" i="4"/>
  <c r="E6" i="4"/>
  <c r="D6" i="4"/>
  <c r="C6" i="4"/>
  <c r="B6" i="4"/>
  <c r="F5" i="4"/>
  <c r="E5" i="4"/>
  <c r="D5" i="4"/>
  <c r="C5" i="4"/>
  <c r="B5" i="4"/>
  <c r="I4" i="4"/>
  <c r="H4" i="4"/>
  <c r="B4" i="4"/>
  <c r="G4" i="4" s="1"/>
  <c r="J37" i="2"/>
  <c r="I37" i="2"/>
  <c r="H37" i="2"/>
  <c r="G37" i="2"/>
  <c r="F37" i="2"/>
  <c r="E37" i="2"/>
  <c r="D37" i="2"/>
  <c r="L37" i="2" s="1"/>
  <c r="C37" i="2"/>
  <c r="K37" i="2" s="1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L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C37" i="1"/>
  <c r="K37" i="1" s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E34" i="1"/>
  <c r="E38" i="1" s="1"/>
  <c r="D34" i="1"/>
  <c r="D38" i="1" s="1"/>
  <c r="C34" i="1"/>
  <c r="C38" i="1" s="1"/>
  <c r="K38" i="1" s="1"/>
  <c r="J33" i="1"/>
  <c r="I33" i="1"/>
  <c r="H33" i="1"/>
  <c r="G33" i="1"/>
  <c r="F33" i="1"/>
  <c r="E33" i="1"/>
  <c r="D33" i="1"/>
  <c r="L33" i="1" s="1"/>
  <c r="C33" i="1"/>
  <c r="K33" i="1" s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K13" i="1" s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C8" i="1"/>
  <c r="L7" i="1"/>
  <c r="K7" i="1"/>
  <c r="L6" i="1"/>
  <c r="K6" i="1"/>
  <c r="L5" i="1"/>
  <c r="K5" i="1"/>
  <c r="L4" i="1"/>
  <c r="K4" i="1"/>
  <c r="C18" i="6" l="1"/>
  <c r="H14" i="6"/>
  <c r="D18" i="6"/>
  <c r="G23" i="6"/>
  <c r="G24" i="6"/>
  <c r="G33" i="6"/>
  <c r="B18" i="6"/>
  <c r="F18" i="6"/>
  <c r="I15" i="6"/>
  <c r="H24" i="6"/>
  <c r="C9" i="6"/>
  <c r="G9" i="6" s="1"/>
  <c r="G15" i="6"/>
  <c r="I24" i="6"/>
  <c r="G5" i="6"/>
  <c r="G14" i="6"/>
  <c r="J15" i="6"/>
  <c r="E9" i="6"/>
  <c r="F9" i="6"/>
  <c r="F24" i="6"/>
  <c r="F33" i="6"/>
  <c r="I33" i="5"/>
  <c r="C10" i="5"/>
  <c r="G25" i="5"/>
  <c r="J19" i="5"/>
  <c r="H33" i="5"/>
  <c r="G15" i="5"/>
  <c r="C19" i="5"/>
  <c r="G19" i="5" s="1"/>
  <c r="H25" i="5"/>
  <c r="D10" i="5"/>
  <c r="G28" i="5" s="1"/>
  <c r="G6" i="5"/>
  <c r="E10" i="5"/>
  <c r="I15" i="5"/>
  <c r="I25" i="5"/>
  <c r="B10" i="5"/>
  <c r="J15" i="5"/>
  <c r="F24" i="5"/>
  <c r="F25" i="5"/>
  <c r="D9" i="4"/>
  <c r="B18" i="4"/>
  <c r="F18" i="4"/>
  <c r="I15" i="4"/>
  <c r="B9" i="4"/>
  <c r="G15" i="4"/>
  <c r="J5" i="4"/>
  <c r="G23" i="4"/>
  <c r="G5" i="4"/>
  <c r="G14" i="4"/>
  <c r="J15" i="4"/>
  <c r="C18" i="4"/>
  <c r="E9" i="4"/>
  <c r="H9" i="4" s="1"/>
  <c r="F9" i="4"/>
  <c r="H14" i="4"/>
  <c r="H15" i="4"/>
  <c r="F23" i="4"/>
  <c r="L8" i="1"/>
  <c r="L38" i="1"/>
  <c r="L37" i="1"/>
  <c r="F38" i="1"/>
  <c r="K8" i="1"/>
  <c r="J19" i="3"/>
  <c r="H19" i="3"/>
  <c r="J9" i="3"/>
  <c r="H14" i="3"/>
  <c r="E15" i="3"/>
  <c r="E19" i="3" s="1"/>
  <c r="I15" i="3"/>
  <c r="I19" i="3" s="1"/>
  <c r="F14" i="3"/>
  <c r="H5" i="6"/>
  <c r="G6" i="6"/>
  <c r="I14" i="6"/>
  <c r="H15" i="6"/>
  <c r="F23" i="6"/>
  <c r="H6" i="6"/>
  <c r="C27" i="6"/>
  <c r="J5" i="6"/>
  <c r="I6" i="6"/>
  <c r="D9" i="6"/>
  <c r="E18" i="6"/>
  <c r="H23" i="6"/>
  <c r="H33" i="6"/>
  <c r="I5" i="6"/>
  <c r="J14" i="6"/>
  <c r="J6" i="6"/>
  <c r="I23" i="6"/>
  <c r="G10" i="5"/>
  <c r="G5" i="5"/>
  <c r="H15" i="5"/>
  <c r="B28" i="5"/>
  <c r="F33" i="5"/>
  <c r="H5" i="5"/>
  <c r="F10" i="5"/>
  <c r="I28" i="5" s="1"/>
  <c r="I5" i="5"/>
  <c r="H6" i="5"/>
  <c r="E19" i="5"/>
  <c r="H19" i="5" s="1"/>
  <c r="I19" i="5"/>
  <c r="H24" i="5"/>
  <c r="J6" i="5"/>
  <c r="G24" i="5"/>
  <c r="G33" i="5"/>
  <c r="J5" i="5"/>
  <c r="I6" i="5"/>
  <c r="I24" i="5"/>
  <c r="H5" i="4"/>
  <c r="B25" i="4"/>
  <c r="J4" i="4"/>
  <c r="I5" i="4"/>
  <c r="H6" i="4"/>
  <c r="C9" i="4"/>
  <c r="J14" i="4"/>
  <c r="D18" i="4"/>
  <c r="C25" i="4"/>
  <c r="I6" i="4"/>
  <c r="E18" i="4"/>
  <c r="H23" i="4"/>
  <c r="G6" i="4"/>
  <c r="I14" i="4"/>
  <c r="J6" i="4"/>
  <c r="I23" i="4"/>
  <c r="K8" i="2"/>
  <c r="L8" i="2"/>
  <c r="K34" i="1"/>
  <c r="L34" i="1"/>
  <c r="J18" i="6" l="1"/>
  <c r="H18" i="6"/>
  <c r="G18" i="6"/>
  <c r="F27" i="6"/>
  <c r="G36" i="6"/>
  <c r="I36" i="6"/>
  <c r="F36" i="6"/>
  <c r="H9" i="6"/>
  <c r="I27" i="6"/>
  <c r="J9" i="6"/>
  <c r="I9" i="6"/>
  <c r="G27" i="6"/>
  <c r="G34" i="5"/>
  <c r="H10" i="5"/>
  <c r="H28" i="5"/>
  <c r="H34" i="5"/>
  <c r="I34" i="5"/>
  <c r="F34" i="5"/>
  <c r="F28" i="5"/>
  <c r="I25" i="4"/>
  <c r="J18" i="4"/>
  <c r="J9" i="4"/>
  <c r="G18" i="4"/>
  <c r="G9" i="4"/>
  <c r="I9" i="4"/>
  <c r="G25" i="4"/>
  <c r="H18" i="4"/>
  <c r="H36" i="6"/>
  <c r="H27" i="6"/>
  <c r="I18" i="6"/>
  <c r="J10" i="5"/>
  <c r="I10" i="5"/>
  <c r="H25" i="4"/>
  <c r="F25" i="4"/>
  <c r="I18" i="4"/>
  <c r="K22" i="16" l="1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K20" i="15"/>
  <c r="J20" i="15"/>
  <c r="I20" i="15"/>
  <c r="H20" i="15"/>
  <c r="G20" i="15"/>
  <c r="F20" i="15"/>
  <c r="E20" i="15"/>
  <c r="D20" i="15"/>
  <c r="C20" i="15"/>
  <c r="B20" i="15"/>
  <c r="K10" i="15"/>
  <c r="K22" i="15" s="1"/>
  <c r="K23" i="15" s="1"/>
  <c r="J10" i="15"/>
  <c r="J22" i="15" s="1"/>
  <c r="J23" i="15" s="1"/>
  <c r="I10" i="15"/>
  <c r="H10" i="15"/>
  <c r="G10" i="15"/>
  <c r="G22" i="15" s="1"/>
  <c r="G23" i="15" s="1"/>
  <c r="F10" i="15"/>
  <c r="F22" i="15" s="1"/>
  <c r="F23" i="15" s="1"/>
  <c r="E10" i="15"/>
  <c r="D10" i="15"/>
  <c r="C10" i="15"/>
  <c r="C22" i="15" s="1"/>
  <c r="C23" i="15" s="1"/>
  <c r="B10" i="15"/>
  <c r="B22" i="15" s="1"/>
  <c r="B23" i="15" s="1"/>
  <c r="D22" i="15" l="1"/>
  <c r="D23" i="15" s="1"/>
  <c r="H22" i="15"/>
  <c r="H23" i="15" s="1"/>
  <c r="E22" i="15"/>
  <c r="E23" i="15" s="1"/>
  <c r="I22" i="15"/>
  <c r="I23" i="15" s="1"/>
  <c r="K16" i="35"/>
  <c r="J16" i="35"/>
  <c r="K8" i="35"/>
  <c r="J8" i="35"/>
  <c r="J87" i="34" l="1"/>
  <c r="J78" i="34"/>
  <c r="J75" i="34"/>
  <c r="J61" i="34"/>
  <c r="J44" i="3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<sst xmlns="http://schemas.openxmlformats.org/spreadsheetml/2006/main" count="2355" uniqueCount="853">
  <si>
    <t>občania SR</t>
  </si>
  <si>
    <t>cudzinci</t>
  </si>
  <si>
    <t>stupeň</t>
  </si>
  <si>
    <t>1+2</t>
  </si>
  <si>
    <t>Tabuľka č. 1a: Vývoj počtu študentov (stav k 31.10. daného roka)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</si>
  <si>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</si>
  <si>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</si>
  <si>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</si>
  <si>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</si>
  <si>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</si>
  <si>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</si>
  <si>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</si>
  <si>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</si>
  <si>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</si>
  <si>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</si>
  <si>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</si>
  <si>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</si>
  <si>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</si>
  <si>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</si>
  <si>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</si>
  <si>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</si>
  <si>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spoločenské a behaviorálne vedy</t>
  </si>
  <si>
    <t>právo</t>
  </si>
  <si>
    <t>farmaceutické vedy</t>
  </si>
  <si>
    <t>nelekárske zdravotnícke vedy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</si>
  <si>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</si>
  <si>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</si>
  <si>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</si>
  <si>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</si>
  <si>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</si>
  <si>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</si>
  <si>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</si>
  <si>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</si>
  <si>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</si>
  <si>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</si>
  <si>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</si>
  <si>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</si>
  <si>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</si>
  <si>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</si>
  <si>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</si>
  <si>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</si>
  <si>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</si>
  <si>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</si>
  <si>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</si>
  <si>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</si>
  <si>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</si>
  <si>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</si>
  <si>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</si>
  <si>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</si>
  <si>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</si>
  <si>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</si>
  <si>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</si>
  <si>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</si>
  <si>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</si>
  <si>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</si>
  <si>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</si>
  <si>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</si>
  <si>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</si>
  <si>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</si>
  <si>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</si>
  <si>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</si>
  <si>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</si>
  <si>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</si>
  <si>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</si>
  <si>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</si>
  <si>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</si>
  <si>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</si>
  <si>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</si>
  <si>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</si>
  <si>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</si>
  <si>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</si>
  <si>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</si>
  <si>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</si>
  <si>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</si>
  <si>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</si>
  <si>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</si>
  <si>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</si>
  <si>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</si>
  <si>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</si>
  <si>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</si>
  <si>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</si>
  <si>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</si>
  <si>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</si>
  <si>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</si>
  <si>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</si>
  <si>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</si>
  <si>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</si>
  <si>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</si>
  <si>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</si>
  <si>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</si>
  <si>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</si>
  <si>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</si>
  <si>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</si>
  <si>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</si>
  <si>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</si>
  <si>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</si>
  <si>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</si>
  <si>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</si>
  <si>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</si>
  <si>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</si>
  <si>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</si>
  <si>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</si>
  <si>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</si>
  <si>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</si>
  <si>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</si>
  <si>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</si>
  <si>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</si>
  <si>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</si>
  <si>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</si>
  <si>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</si>
  <si>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</si>
  <si>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</si>
  <si>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</si>
  <si>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</si>
  <si>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</si>
  <si>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</si>
  <si>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</si>
  <si>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</si>
  <si>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</si>
  <si>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</si>
  <si>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</si>
  <si>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</si>
  <si>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fakulta6</t>
  </si>
  <si>
    <t>spolu fakulta 6</t>
  </si>
  <si>
    <t>V dennej aj v externej forme spolu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</si>
  <si>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</si>
  <si>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</si>
  <si>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</si>
  <si>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</si>
  <si>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</si>
  <si>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</si>
  <si>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</si>
  <si>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</si>
  <si>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</si>
  <si>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</si>
  <si>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</si>
  <si>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</si>
  <si>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</si>
  <si>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</si>
  <si>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</si>
  <si>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</si>
  <si>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</si>
  <si>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</si>
  <si>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</si>
  <si>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</si>
  <si>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</si>
  <si>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</si>
  <si>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</si>
  <si>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</si>
  <si>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</si>
  <si>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</si>
  <si>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</si>
  <si>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</si>
  <si>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</si>
  <si>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</si>
  <si>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</si>
  <si>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</si>
  <si>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</si>
  <si>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</si>
  <si>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</si>
  <si>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</si>
  <si>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</si>
  <si>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</si>
  <si>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</si>
  <si>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</si>
  <si>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</si>
  <si>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</si>
  <si>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</si>
  <si>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</si>
  <si>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</si>
  <si>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</si>
  <si>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</si>
  <si>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</si>
  <si>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</si>
  <si>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</si>
  <si>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</si>
  <si>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</si>
  <si>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</si>
  <si>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</si>
  <si>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</si>
  <si>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2015</t>
  </si>
  <si>
    <t>Počet študentov, ktorí riadne skončili štúdium v akademickom roku 2014/2015</t>
  </si>
  <si>
    <t>Prijímacie konanie na študijné programy v prvom stupni a v spojenom prvom a druhom stupni v roku 2015</t>
  </si>
  <si>
    <t>Prijímacie konanie na študijné programy v druhom stupni v roku 2015</t>
  </si>
  <si>
    <t>Prijímacie konanie na študijné programy v treťom stupni v roku 2015</t>
  </si>
  <si>
    <t>Počet študentov uhrádzajúcich školné (ak. rok 2014/2015)</t>
  </si>
  <si>
    <t>Podiel riadne skončených štúdií na celkovom počte začatých štúdií v danom akademickom roku k 31.12.2015</t>
  </si>
  <si>
    <t xml:space="preserve"> Prehľad akademických mobilít - študenti v akademickom roku 2014/2015 a porovnanie s akademickým rokom 2013/2014</t>
  </si>
  <si>
    <t>Zoznam predložených návrhov na vymenovanie za profesora v roku 2015</t>
  </si>
  <si>
    <t>Zoznam vymenovaných docentov za rok 2015</t>
  </si>
  <si>
    <t>Výberové konania na miesta vysokoškolských učiteľov uskutočnené v roku 2015</t>
  </si>
  <si>
    <t>Prehľad akademických mobilít - zamestnanci v akademickom roku 2014/2015 a porovnanie s akademickým rokom 2013/2014</t>
  </si>
  <si>
    <t>Informácie o záverečných prácach a rigoróznych prácach predložených na obhajobu v roku 2015</t>
  </si>
  <si>
    <t xml:space="preserve"> Publikačná činnosť vysokej školy za rok 2015 a porovnanie s rokom 2014</t>
  </si>
  <si>
    <t>Umelecká činnosť vysokej školy za rok 2014 a porovnanie s rokom 2014</t>
  </si>
  <si>
    <t>Zoznam akreditovaných študijných programov ponúkaných  k 1.9.2015</t>
  </si>
  <si>
    <t>Zoznam akreditovaných študijných programov - pozastavenie práva, odňatie práva alebo skončenie platnosti priznaného práva k 31.12. 2015</t>
  </si>
  <si>
    <t>Zoznam priznaných práv uskutočňovať habilitačné konanie a konanie na vymenúvanie profesorov  k 31.12.2015</t>
  </si>
  <si>
    <t>Zoznam priznaných práv uskutočňovať habilitačné konanie a konanie na vymenúvanie profesorov - pozastavenie, odňatie alebo skončenie platnosti priznaného práva k 31.12.2015</t>
  </si>
  <si>
    <t>Finančné prostriedky na výskumné projekty získané v roku 2015</t>
  </si>
  <si>
    <t>Finančné prostriedky na ostatné (nevýskumné) projekty získané v roku 2015</t>
  </si>
  <si>
    <t>Prehľad umeleckej činnosti vysokej školy za rok 2015</t>
  </si>
  <si>
    <t>spolu</t>
  </si>
  <si>
    <t>Tabuľková príloha
k výročnej správe o činnosti vysokej školy za rok 2015</t>
  </si>
  <si>
    <t>Tabuľka č. 1: Počet študentov vysokej školy k 31. 10. 2015</t>
  </si>
  <si>
    <t>Tabuľka č. 2: Počet študentov, ktorí riadne skončili štúdium v akademickom roku 2014/2015</t>
  </si>
  <si>
    <t>Tabuľka č. 3a: Prijímacie konanie na študijné programy v prvom stupni a v spojenom prvom a druhom stupni v roku 2015</t>
  </si>
  <si>
    <t>Tabuľla č. 3b: Prijímacie konanie na študijné programy v druhom stupni v roku 2015</t>
  </si>
  <si>
    <t>Tabuľka č. 3c: Prijímacie konanie na študijné programy v treťom stupni v roku 2015</t>
  </si>
  <si>
    <t>Tabuľka č. 4: Počet študentov uhrádzajúcich školné (ak. rok 2014/2015)</t>
  </si>
  <si>
    <t>ktorým vznikla v ak. roku 2014/2015 povinnosť uhradiť školné</t>
  </si>
  <si>
    <t>2013 / 2014</t>
  </si>
  <si>
    <t>V roku 2013/2014</t>
  </si>
  <si>
    <t>z toho ženy</t>
  </si>
  <si>
    <t>Rozdiel 2014 a 2013</t>
  </si>
  <si>
    <t>V roku 2014</t>
  </si>
  <si>
    <t>2014 / 2015</t>
  </si>
  <si>
    <t>Tabuľka č. 5: Podiel riadne skončených štúdií na celkovom počte začatých štúdií v danom akademickom roku k 31.12.2015</t>
  </si>
  <si>
    <t>Tabuľka č. 6: Prehľad akademických mobilít - študenti v akademickom roku 2014/2015 a porovnanie s akademickým rokom 2013/2014</t>
  </si>
  <si>
    <t>V roku 2014/2015</t>
  </si>
  <si>
    <t>Tabuľka č. 7: Zoznam predložených návrhov na vymenovanie za profesora v roku 2015</t>
  </si>
  <si>
    <t>Počet neskončených konaní: stav k 1.1.2015</t>
  </si>
  <si>
    <t>Počet neskončených konaní: stav k 31.12.2015</t>
  </si>
  <si>
    <t>Počet riadne skončených konaní k 31.12.2015</t>
  </si>
  <si>
    <t>Tabuľka č. 8: Zoznam vymenovaných docentov za rok 2015</t>
  </si>
  <si>
    <t>Evidenčný prepočítaný počet vysokoškolských učiteľov k 31. 10. 2015</t>
  </si>
  <si>
    <t>Rozdiel 2015 - 2014</t>
  </si>
  <si>
    <t>Tabuľka č. 11: Prehľad akademických mobilít - zamestnanci v akademickom roku 2014/2015 a porovnanie s akademickým rokom 2013/2014</t>
  </si>
  <si>
    <t>Tabuľka č. 12: Informácie o záverečných prácach a rigoróznych prácach predložených na obhajobu v roku 2015</t>
  </si>
  <si>
    <t>Tabuľka č. 13: Publikačná činnosť vysokej školy za rok 2015 a porovnanie s rokom 2014</t>
  </si>
  <si>
    <t>V roku 2015</t>
  </si>
  <si>
    <t>Tabuľka č. 14: Umelecká činnosť vysokej školy za rok 2015 a porovnanie s rokom 2014</t>
  </si>
  <si>
    <t>Tabuľka č. 17: Zoznam priznaných práv uskutočňovať habilitačné konanie a konanie na vymenúvanie profesorov  k 31.12.2015</t>
  </si>
  <si>
    <t>Tabuľka č. 19: Finančné prostriedky na výskumné projekty získané v roku 2015</t>
  </si>
  <si>
    <t>Tabuľka č. 20: Finančné prostriedky na ostatné (nevýskumné) projekty získané v roku 2015</t>
  </si>
  <si>
    <t>Stupeň štúdia</t>
  </si>
  <si>
    <t>Počet obhájených prác</t>
  </si>
  <si>
    <t>z toho počet prác predložených ženami</t>
  </si>
  <si>
    <t>Spolu v roku 2014</t>
  </si>
  <si>
    <t>Rozdiel v % 2015 - 2014</t>
  </si>
  <si>
    <t>Podiel v % 2014</t>
  </si>
  <si>
    <t>Pozn.: Percentuálny podiel  v jednotlivých kategóriách žien je z celkového počtu žien</t>
  </si>
  <si>
    <t>Tabuľka č. 21: Prehľad umeleckej činnosti vysokej školy za rok 2015</t>
  </si>
  <si>
    <t xml:space="preserve">Filozofická </t>
  </si>
  <si>
    <t>2.1.2. systematická filozofia</t>
  </si>
  <si>
    <t>2.1.5. etika</t>
  </si>
  <si>
    <t xml:space="preserve">Filozofická  </t>
  </si>
  <si>
    <t>2.1.9. slovenské dejiny</t>
  </si>
  <si>
    <t>2.1.26. klasická archeológia</t>
  </si>
  <si>
    <t>Filozofická</t>
  </si>
  <si>
    <t>3.1.13. sociálna psychológia a psychológia práce</t>
  </si>
  <si>
    <t>Pedagogická</t>
  </si>
  <si>
    <t>1.1.4. pedagogika</t>
  </si>
  <si>
    <t>1.1.10. odborová didaktika</t>
  </si>
  <si>
    <t>Zdravotníctva a sociálnej práce</t>
  </si>
  <si>
    <t>3.1.14. sociálna práca</t>
  </si>
  <si>
    <t>7.4.2. verejné zdravotníctvo</t>
  </si>
  <si>
    <t>7.4.3. laboratórne vyšetrovacie metódy v zdravotníctve</t>
  </si>
  <si>
    <t xml:space="preserve">Teologická </t>
  </si>
  <si>
    <t>2.1.13. katolícka teológia</t>
  </si>
  <si>
    <t>Právnická</t>
  </si>
  <si>
    <t>3.4.2. teória a dejiny štátu a práva</t>
  </si>
  <si>
    <t>3.4.6. pracovné právo</t>
  </si>
  <si>
    <t>3.4:7. trestné právo</t>
  </si>
  <si>
    <t>FF</t>
  </si>
  <si>
    <t>VEGA</t>
  </si>
  <si>
    <t>G</t>
  </si>
  <si>
    <t>D</t>
  </si>
  <si>
    <t>1/0265/15</t>
  </si>
  <si>
    <t>Rábik Vladimír, prof. PhDr., PhD.</t>
  </si>
  <si>
    <t>Monasteriologia Slovaciae mediaevalia.Spoločenská úloha stredovekých kláštorov na Slovensku</t>
  </si>
  <si>
    <t>2015-2017</t>
  </si>
  <si>
    <t>1/0346/15</t>
  </si>
  <si>
    <t>Kuzmová Klára, prof. PhDr., CSc.</t>
  </si>
  <si>
    <t>Kastel v Iži - súčasť limes romanus na Slovensku</t>
  </si>
  <si>
    <t>1/0687/15</t>
  </si>
  <si>
    <t>Petruf Pavol, prof. PhDr., DrSc.</t>
  </si>
  <si>
    <t>Západné veľmoci(Francúzsko a Spojené štáty americké a Československo v 1. polovici 20. storočia</t>
  </si>
  <si>
    <t>1/0234/15</t>
  </si>
  <si>
    <t>Halama Peter, doc. Mgr., PhD.</t>
  </si>
  <si>
    <t>Odlišné fungovanie položiek (DIF) vo vzbraných osobnostných a kognitívnych testoch</t>
  </si>
  <si>
    <t>1/0083/15</t>
  </si>
  <si>
    <t>Špajdel Marian,PhDr.,PhD.</t>
  </si>
  <si>
    <t>Vzťah kognitívnych schopností a funkčnej asymetrie mozgových hemisfér</t>
  </si>
  <si>
    <t>2/0132/15</t>
  </si>
  <si>
    <t>Zervan Marian,prof.PhDr., pHd.</t>
  </si>
  <si>
    <t>Zákldné pojmy teórie obrazu v interdisciplinárnej reflexii a umenovednej praxi</t>
  </si>
  <si>
    <t>2015-2018</t>
  </si>
  <si>
    <t>1/0061/14</t>
  </si>
  <si>
    <t>Hrehová Helena,prof.ThDr.Mgr.,PhD.</t>
  </si>
  <si>
    <t>Sociálno-etické motívy v súčasnej ruskej filozofii</t>
  </si>
  <si>
    <t>2014-2016</t>
  </si>
  <si>
    <t>1/0170/14</t>
  </si>
  <si>
    <t>Kohútová Mária,prof.PhDr,CSc.</t>
  </si>
  <si>
    <t>Vrchnostenská správa panstiev</t>
  </si>
  <si>
    <t>1/0045/14</t>
  </si>
  <si>
    <t>Varsik Vladimír, doc. PhDr., CSc.</t>
  </si>
  <si>
    <t>Život v pohraničí. Sídliskové štruktúry v predpolí a zázemí panónskeho limitu od mladšej doby laténskej po záver antiky</t>
  </si>
  <si>
    <t>1/0445/14</t>
  </si>
  <si>
    <t>Mentel Andrej, Mgr., PhD.</t>
  </si>
  <si>
    <t>Kultúrny kapitál a ščkolská úspešnosť:Úloha kultprne špecifických výchovných praktík a exekutívnych funkcii</t>
  </si>
  <si>
    <t>1/0091/14</t>
  </si>
  <si>
    <t>Katuninec Milan, prof. PhDr., PhD.</t>
  </si>
  <si>
    <t>Vplyv sociálneho učenia katolíckej cirkvi na politické myslenie na Slovensku</t>
  </si>
  <si>
    <t>1/0275/14</t>
  </si>
  <si>
    <t>Mitašová Monika, Ing. arch., PhD.</t>
  </si>
  <si>
    <t>Interpretačné metódy v architektúre</t>
  </si>
  <si>
    <t>1/0272/13</t>
  </si>
  <si>
    <t>Vydra Anton, Mgr., PhD.</t>
  </si>
  <si>
    <t>Interpersonalita, normativita, generativita, fenomenologický výskum</t>
  </si>
  <si>
    <t>2013-2015</t>
  </si>
  <si>
    <t>1/0610/13</t>
  </si>
  <si>
    <t>Labanc Peter, Mgr., PhD.</t>
  </si>
  <si>
    <t>Spišské prepošstvo na prelome stredoveku a novoveku</t>
  </si>
  <si>
    <t>PdF</t>
  </si>
  <si>
    <t>1/0057/15</t>
  </si>
  <si>
    <t>Kaščák Ondrej, doc. PaedDr., PhD.</t>
  </si>
  <si>
    <t>Expertský diskurz ako zdroj komparácie kurikulárneho projektovania vzdelávania v ranom detstve</t>
  </si>
  <si>
    <t>2/0140/15</t>
  </si>
  <si>
    <t>Pupala Branislav, prof. PhDr., CSc.</t>
  </si>
  <si>
    <t>Gramotnosť ako nástroj sociálnej inklúzie detí zo sociálne znevýhodneného prostredia a marginalizovaných komunít</t>
  </si>
  <si>
    <t xml:space="preserve">Spoločný projekt ÚVSK SAV </t>
  </si>
  <si>
    <t>1/0106/15</t>
  </si>
  <si>
    <t>Bérešová Jana, doc. PhDr., PhD.</t>
  </si>
  <si>
    <t>Teoretické skúmanie a empirické overenie konceptu interkultúrnej komunikatívnej kompetencie ako súčasti aktuálnej koncepcie výučby cudzích jazykov v súčinnosti so Spoločným európskym referenčným rámcom pre jazyky: učenie, vyučovanie, hodnotenie</t>
  </si>
  <si>
    <t>1/0962/13</t>
  </si>
  <si>
    <t>Andrej Rajský, doc. PhDr., PhD.</t>
  </si>
  <si>
    <t>Teoretické preskúmanie a empirické overenie konceptu prosociálnosti ako východiskovej bázy aktuálnej koncepcie Etickej výchovy v SR</t>
  </si>
  <si>
    <t>1/0266/14</t>
  </si>
  <si>
    <t>Adamík Šimegová Miroslava , Mgr. PhD.</t>
  </si>
  <si>
    <t>Indikátory kvality života v kontexte edukácie</t>
  </si>
  <si>
    <t>1/0608/14</t>
  </si>
  <si>
    <t xml:space="preserve"> Gajdošíková Zeleiová Jaroslava, doc. Mgr. art., PhD.</t>
  </si>
  <si>
    <t>Kvalita života (žiakov s postihnutím) v multiperspektívach inkluzívnej edukácie</t>
  </si>
  <si>
    <t>1/0263/14</t>
  </si>
  <si>
    <t>Kudláčová Blanka, prof. PhDr. Ing., PhD.</t>
  </si>
  <si>
    <t>Pedagogické myslenie na Slovensku od r. 1918 po súčasnosť</t>
  </si>
  <si>
    <t>1/0042/14</t>
  </si>
  <si>
    <t>Híc Pavel, doc. RNDr., CSc.</t>
  </si>
  <si>
    <t>Spektrálna teória grafov a hranové farbenie grafov</t>
  </si>
  <si>
    <t>2/0146/14</t>
  </si>
  <si>
    <t>Paštéka Milan, doc. RNDr., CSc.</t>
  </si>
  <si>
    <t>Algebrická a pravdepodobnostná teória čísel a ich aplikácia</t>
  </si>
  <si>
    <t>2014-2017</t>
  </si>
  <si>
    <t>1/0501-15</t>
  </si>
  <si>
    <t>Schauer František, prof. Ing., DrSc.</t>
  </si>
  <si>
    <t>Nové stabilizované a štruktúrne usporiadané opticky a fotoelektricky aktívne organické materiály</t>
  </si>
  <si>
    <t>TF</t>
  </si>
  <si>
    <t>1/0218/15</t>
  </si>
  <si>
    <t>Lichner Miloš, doc. ThLic., D.Th.</t>
  </si>
  <si>
    <t>Výkladový slovník ranokresťanskej a patristickej terminológie</t>
  </si>
  <si>
    <t>1/0306/14</t>
  </si>
  <si>
    <t>Braunsteiner Gloria, doc. ThDr., PhD.</t>
  </si>
  <si>
    <t>Zlom alebo kontinuita? Druhý vatikánsky koncil pre budúcnosť spoločnosti</t>
  </si>
  <si>
    <t>2/0013/13</t>
  </si>
  <si>
    <t>Marinčák Šimon, doc. ThDr. PaedDr., PhD.</t>
  </si>
  <si>
    <t>Slovensko-slovanské kontexty písomníctva pod Karpatmi</t>
  </si>
  <si>
    <t>2013-2016</t>
  </si>
  <si>
    <t>1/0318/12</t>
  </si>
  <si>
    <t>Tiňo Jozef, doc. S.S.Lic., PhD.</t>
  </si>
  <si>
    <t>Komentár ku Knihe žalmov (51-100)</t>
  </si>
  <si>
    <t>2012-2015</t>
  </si>
  <si>
    <t>PrF</t>
  </si>
  <si>
    <t>1/0023/12</t>
  </si>
  <si>
    <t>Barancová Helena, prof. JUDr., DrSc.</t>
  </si>
  <si>
    <t>Transnacionálne práva v Európskej únii a posilnenie sociálnych práv v európskom integračnom procese</t>
  </si>
  <si>
    <t>1/0256/12</t>
  </si>
  <si>
    <t>Novotná Marianna, JUDr., PhD.</t>
  </si>
  <si>
    <t>Občianskoprávny režim zodpovednosti za jadrové škody - perspektívy a možnosti jeho ďalšieho vývoja na úrovni slovenského, medzinárodného a európskeho práva</t>
  </si>
  <si>
    <t>1/2577/12</t>
  </si>
  <si>
    <t>Križan Viktor, JUDr., PhD.</t>
  </si>
  <si>
    <t>Sociálna náuka Katolíckej cirkvi v pracovnom práve SR</t>
  </si>
  <si>
    <t>1/0092/13</t>
  </si>
  <si>
    <t>Košičiarová Soňa, prof. JUDr., PhD.</t>
  </si>
  <si>
    <t>Princípy administratívnoprávnej zodpovednosti – právna úprava a právna prax</t>
  </si>
  <si>
    <t>1/0783/13</t>
  </si>
  <si>
    <t>Adamová Zuzana, JUDr., PhD.</t>
  </si>
  <si>
    <t>Duševné vlastníctvo a podpora kultúry, vzdelania, vedy a priemyslu v poznatkovo orientovanej spoločnosti</t>
  </si>
  <si>
    <t>1/0043/14</t>
  </si>
  <si>
    <t>Šimovček Ivan, prof. JUDr., CSc.</t>
  </si>
  <si>
    <t>Revízia rozhodnutí v trestnom konaní</t>
  </si>
  <si>
    <t>2014-2015</t>
  </si>
  <si>
    <t>1/0505/14</t>
  </si>
  <si>
    <t>Uhliarová Martina, JUDr., PhD.</t>
  </si>
  <si>
    <t>Princípy nadnárodného civilného procesu, ich perspektívy a možnosti inšpirácie slovenskej právnej úpravy de lege ferenda</t>
  </si>
  <si>
    <t>1/0423/14</t>
  </si>
  <si>
    <t>Olšovská Andrea, doc. JUDr. Mgr., PhD.</t>
  </si>
  <si>
    <t>Zákonník práce a jeho možné variácie</t>
  </si>
  <si>
    <t>1/0315/14</t>
  </si>
  <si>
    <t>Vráblová Miroslava, doc. JUDr., PhD.</t>
  </si>
  <si>
    <t>Harmonizácia trestného súdnictva nad mládežou v Európskej únii</t>
  </si>
  <si>
    <t>1/0568/14</t>
  </si>
  <si>
    <t>Blaho Peter, Dr.h.c. prof. JUDr., CSc.</t>
  </si>
  <si>
    <t>Justiniánske Digesta a ich sprístupňovanie vo vedeckej a odbornej komunite</t>
  </si>
  <si>
    <t>1/0094/15</t>
  </si>
  <si>
    <t>Jurčová Monika, doc. JUDr., PhD.</t>
  </si>
  <si>
    <t>Porušenie zmluvných povinností a nesplnenie dlhu v súkromnom práve a ich následky – analýza a tvorba terminologicky a saystematicky odôvodneného a jednotného systému nápravných prostriedkov pre zmluvné strany podnikateľov, nepodnikateľov aj spotrebiteľov</t>
  </si>
  <si>
    <t>1/0549/15</t>
  </si>
  <si>
    <t>Drgo Ján, JUDr., PhD.</t>
  </si>
  <si>
    <t>Právne postavenie Židov na území Slovenskej republiky v rokoch 1939 – 1942 so zreteľom na niektoré vybrané oblasti právnej úpravy  v stredoeurópskom kontexte</t>
  </si>
  <si>
    <t>ÚD</t>
  </si>
  <si>
    <t>1/0758/15</t>
  </si>
  <si>
    <t>Manák Marián, PhDr., PhD.</t>
  </si>
  <si>
    <t>Ephemeris academiae Tyrnaviensis 1636-1640. Denník rektora Trnavskej univerzity Juraja Dobronockého ako sonda do začiatkov formovania vysokého školstva v Uhorskom kráľovstve</t>
  </si>
  <si>
    <t>1/2015-12/2017</t>
  </si>
  <si>
    <t xml:space="preserve">VEGA spolu </t>
  </si>
  <si>
    <t>KEGA</t>
  </si>
  <si>
    <t>004TTU-4/2015</t>
  </si>
  <si>
    <t>Démuth Andrej, prof. Mgr., PhD.</t>
  </si>
  <si>
    <t>Kognitívne aspekty estetickej skúsenosti</t>
  </si>
  <si>
    <t>019TTU-4/2015</t>
  </si>
  <si>
    <t>Dobrotková Marta, prof. PhDr., CSc.</t>
  </si>
  <si>
    <t>Kultúrno-historické aspekty vzniku trnavských tlačí 2. polovice 18. storočia</t>
  </si>
  <si>
    <t>015TTU-4/2014</t>
  </si>
  <si>
    <t>Tkáčik Ladislav, Mgr., PhD.</t>
  </si>
  <si>
    <t>Fenemenológia kapucínskej architektúry a kultúrne dejiny Slovenska</t>
  </si>
  <si>
    <t>013TTU-4/2013</t>
  </si>
  <si>
    <t>Karabová Katarína, Mgr., PhD.</t>
  </si>
  <si>
    <t>Antológia z diel profesorov filozofie pôsobiacich na historickej TU</t>
  </si>
  <si>
    <t>010TTU-4/2013</t>
  </si>
  <si>
    <t>Ihringová Katarína, Mgr., PhD.</t>
  </si>
  <si>
    <t>Portrétna maľba 16. a 17. storočia na našom území v stredoeurópskych kontextoch a formovanie sa šľachtických galérií</t>
  </si>
  <si>
    <t>003TTU-4/2015</t>
  </si>
  <si>
    <t>Pokorný Milan, PaedDr., PhD.</t>
  </si>
  <si>
    <t>Elektronické kurzy pre vyučovanie matematiky na základných školách a v prvých 4 ročníkoch osemročných gymnázií</t>
  </si>
  <si>
    <t>005TTU-4/2015</t>
  </si>
  <si>
    <t>Bariéry osvojenia gramotnosti: objasnenia a riešenia</t>
  </si>
  <si>
    <t>010UJS-4/2014</t>
  </si>
  <si>
    <t>Pšenáková Ildikó, Ing., PhD.</t>
  </si>
  <si>
    <t>Modelovanie, simulácia a animácia vo vzdelávaní</t>
  </si>
  <si>
    <t>004TTU-4/213</t>
  </si>
  <si>
    <t>Reguli Ján, doc. Ing., CSc.</t>
  </si>
  <si>
    <t>Tvorba vzdelávacích materiálov pre pregraduálne a celoživotné vzdelávanie učiteľov chémie a riešiteľov úloh chemickej olympiády</t>
  </si>
  <si>
    <t>012TTU-4/2013</t>
  </si>
  <si>
    <t>Danišková, Zuzana, Mgr., PhD.</t>
  </si>
  <si>
    <t>Reflexia obsahov primárneho vzdelávania z pohľadu rozvíjania občianskej gramotnosti</t>
  </si>
  <si>
    <t>008UMB-4/2013</t>
  </si>
  <si>
    <t>Híc, Pavel, doc. RNDr., CSc.</t>
  </si>
  <si>
    <t>Efektivita blended learningu v príprave budúcich učiteľov matematiky</t>
  </si>
  <si>
    <t>020TTU-4/2013</t>
  </si>
  <si>
    <t>Ožvoldová, Miroslava, doc. RNDr., CSc.</t>
  </si>
  <si>
    <t>Príprava akreditovaného personaloizovaného IKT vzdelávacie pracoviska učiteľov prírodných vied</t>
  </si>
  <si>
    <t>FZaSP</t>
  </si>
  <si>
    <t>011TTU-4/2014</t>
  </si>
  <si>
    <t>Rusnák Martin, prof. MUDr., CSc.</t>
  </si>
  <si>
    <t>Monografia Štatistika zdravia v stratégiách rozvoja zdravia verejnosti</t>
  </si>
  <si>
    <t>01/2014 - 12/2015</t>
  </si>
  <si>
    <t>010TTU-4/2014</t>
  </si>
  <si>
    <t>Šmidová Mária, doc. PhDr., PhD.</t>
  </si>
  <si>
    <t>Nový model efektívnych študentských praxí s využitím sprevádzania (counselling) v rodinách so špecifickými sociálnymi problémami</t>
  </si>
  <si>
    <t>021TTU-4/2015</t>
  </si>
  <si>
    <t>Jeník Lukáš, Mgr., PhD.</t>
  </si>
  <si>
    <t>Jezuitské divadlo - integrálna vzdelávacia a výchovná metóda</t>
  </si>
  <si>
    <t>2015-2016</t>
  </si>
  <si>
    <t>008UCM-4/2013</t>
  </si>
  <si>
    <t>Zvyšovanie právneho vedomia v rámci vzdelávania v iných (neprávnických) študijných odboroch</t>
  </si>
  <si>
    <t>KEGA spolu</t>
  </si>
  <si>
    <t>APVV</t>
  </si>
  <si>
    <t>APVV-0254-11</t>
  </si>
  <si>
    <t>Špajdel Marián, PhDr. PhD.</t>
  </si>
  <si>
    <t>Sociálny, emočný a kognitívny obraz autizmu v interdisciplinárnych zrkadlách</t>
  </si>
  <si>
    <t>APVV-0096-11</t>
  </si>
  <si>
    <t>Úloha defektov v organických polovodičoch pre slnečné články</t>
  </si>
  <si>
    <t>APVV-0269-11</t>
  </si>
  <si>
    <t>Holý Dušan, doc. RNDr., CSc.</t>
  </si>
  <si>
    <t>Funkcionálne priestory, bornológie, hyperpriestory a topologické štruktúry</t>
  </si>
  <si>
    <t>APVV-14-0070</t>
  </si>
  <si>
    <t>Held Ľubomír, prof. PhDr., CSc.</t>
  </si>
  <si>
    <t>Prírodovedecké kurikulum pre základnú školu 2020</t>
  </si>
  <si>
    <t>2015-2019</t>
  </si>
  <si>
    <t>APVV-0524-2012</t>
  </si>
  <si>
    <t>Levická Jana, prof. PhDr. Mgr., PhD.</t>
  </si>
  <si>
    <t>Identita sociálnej práce v kontexte Slovenska</t>
  </si>
  <si>
    <t>10/2013 - 9/2017</t>
  </si>
  <si>
    <t>DO7RP–0000–00</t>
  </si>
  <si>
    <t>Bražinová Alexandra, MUDr., PhD., MPH</t>
  </si>
  <si>
    <t>Collaborative European Neuro Trauma Effectiveness Research in TBI</t>
  </si>
  <si>
    <t>10/2013 - 3/2020</t>
  </si>
  <si>
    <t>APVV-14-0646</t>
  </si>
  <si>
    <t>Slaný Jaroslav, prof. MUDr. CSc.</t>
  </si>
  <si>
    <t>Analýza potrieb sociálnej služby v oblasti včasnej intervencie v podmienkach Slovenska.</t>
  </si>
  <si>
    <t>01/2015 - 06/2019</t>
  </si>
  <si>
    <t>APVV-14-0029</t>
  </si>
  <si>
    <t>Cyrilské písomníctvo na Slovensku do konca 18. storočia</t>
  </si>
  <si>
    <t>APVV-0068-11</t>
  </si>
  <si>
    <t>Dôstojnosť človeka a základné ľudské práva a slobody v pracovnom práve</t>
  </si>
  <si>
    <t>APVV-0562-11</t>
  </si>
  <si>
    <t>Prochazka Radoslav, doc. JUDr., PhD.</t>
  </si>
  <si>
    <t>Právne argumenty a právne princípy ako pramene práva</t>
  </si>
  <si>
    <t>APVV-0024-12</t>
  </si>
  <si>
    <t>Verejná správa a ochrana základných práv a slobôd v právnej teórii a praxi</t>
  </si>
  <si>
    <t>2013-2017</t>
  </si>
  <si>
    <t>APVV-0179-12</t>
  </si>
  <si>
    <t>Strémy Tomáš, doc. JUDr.,PhD.</t>
  </si>
  <si>
    <t>Restoratívna justícia  a systém alternatívnych trestov  v podmienkach Slovenskej republiky</t>
  </si>
  <si>
    <t>APVV-14-0061</t>
  </si>
  <si>
    <t>Rozširovanie sociálnej funkcie slovenského súkromného práva pri uplatňovaní zásad európskeho práva</t>
  </si>
  <si>
    <t>APVV spolu</t>
  </si>
  <si>
    <t>Volkswagen Slovakia</t>
  </si>
  <si>
    <t>35/14_SO</t>
  </si>
  <si>
    <t>Žoldošová Kristína, doc. PaedDr., PhD.</t>
  </si>
  <si>
    <t>Technika hrou od materských škôl I.</t>
  </si>
  <si>
    <t>82/15</t>
  </si>
  <si>
    <t>Technika hrou od materských škôl II.</t>
  </si>
  <si>
    <t>Ostatné domáce spolu</t>
  </si>
  <si>
    <t>Zahraničné</t>
  </si>
  <si>
    <t>Gloucestershire University (dotačný program Erasmus+)</t>
  </si>
  <si>
    <t>Z</t>
  </si>
  <si>
    <t>V1-2015-10-16</t>
  </si>
  <si>
    <t>Brestovanský Martin,  Mgr., PhD.</t>
  </si>
  <si>
    <t xml:space="preserve">Projekt RIDE (Zdroje pre inklúziu, rôznorodosť a rovnosť príležitostí/Resources for Inclusion, Diversity and Equality) </t>
  </si>
  <si>
    <t>Lifelong Learning Programme (Program celoživotného vzdelávania) podprogram Comenius</t>
  </si>
  <si>
    <t>540149-LLP-1-2013-FR-COMENIUS-CNW</t>
  </si>
  <si>
    <t>Kotuľáková Katarína, PaedDr., PhD.</t>
  </si>
  <si>
    <t>Sustain (Supporting Science Teaching Advancement Through Inquiry, Podpora výučby prírodovedných predmetov prostredníctvom výskumných aktivít)</t>
  </si>
  <si>
    <t>EU - FP7</t>
  </si>
  <si>
    <t>RENOVABIS</t>
  </si>
  <si>
    <t xml:space="preserve">2-15-104/0014-00  </t>
  </si>
  <si>
    <t xml:space="preserve">Žuffa Jozef, Dr. Theol. </t>
  </si>
  <si>
    <t>Sloboda v súčasnej kultúrnej pluralite Slovenska</t>
  </si>
  <si>
    <t>FOSI</t>
  </si>
  <si>
    <t>OR2015-20696</t>
  </si>
  <si>
    <t xml:space="preserve">Adamová Zuzana, JUDr., PhD. </t>
  </si>
  <si>
    <t>Open Education Kickof Meeting</t>
  </si>
  <si>
    <t>OR2015-22833</t>
  </si>
  <si>
    <t>Open Education in Slovakia: first steps</t>
  </si>
  <si>
    <t>Zahraničné spolu</t>
  </si>
  <si>
    <t xml:space="preserve">Peter Šajda </t>
  </si>
  <si>
    <t>nie</t>
  </si>
  <si>
    <t>Zuzana Petrová</t>
  </si>
  <si>
    <t>áno</t>
  </si>
  <si>
    <t>Jan Činčera</t>
  </si>
  <si>
    <t>Zita Jenisová</t>
  </si>
  <si>
    <t>Marek Skoršepa</t>
  </si>
  <si>
    <t>Miloš Lichner</t>
  </si>
  <si>
    <t>Peter Vyšný</t>
  </si>
  <si>
    <t>27. 2. 2014</t>
  </si>
  <si>
    <t>Nadácia pre deti Slovenska</t>
  </si>
  <si>
    <t>02_25-03-2015</t>
  </si>
  <si>
    <t>Rafajdus Michal, Mgr., PhD.</t>
  </si>
  <si>
    <t>Srdce plné zdravia 2</t>
  </si>
  <si>
    <t>30/7/2015 - 25/11/2015</t>
  </si>
  <si>
    <t>SPZ29-01-2014</t>
  </si>
  <si>
    <t>Srdce plné zdravia</t>
  </si>
  <si>
    <t>10/2014 - 12/2014</t>
  </si>
  <si>
    <t>TU</t>
  </si>
  <si>
    <t>Výskumná agentúra</t>
  </si>
  <si>
    <t>ITMS kód: 26110230092</t>
  </si>
  <si>
    <t>Démuth Andrej, doc. Mgr., PhD.</t>
  </si>
  <si>
    <t>Podpora infraštruktúry Trnavskej univerzity v Trnave za účelom zlepšenia podmienok vzdelávacieho procesu</t>
  </si>
  <si>
    <t>1/10/2013-30/11/2015</t>
  </si>
  <si>
    <t>ITMS kód: 26250120058</t>
  </si>
  <si>
    <t>Krišica Ľubomír, Ing.</t>
  </si>
  <si>
    <t>Skvalitnenie a dobudovanie infraštruktúry Trnavskej univerzity</t>
  </si>
  <si>
    <t>11/2012-10/2015</t>
  </si>
  <si>
    <t>ITMS kód: 26250120073</t>
  </si>
  <si>
    <t>Beňo Pavel, Ing.</t>
  </si>
  <si>
    <t>Moderná a bezpečná infraštruktúra - cesta ku kvalitnému vzdelávaniu</t>
  </si>
  <si>
    <t>11/2014 - 11/2015</t>
  </si>
  <si>
    <t>Domáce spolu</t>
  </si>
  <si>
    <t>Executive Agency for Health and Consumers</t>
  </si>
  <si>
    <t>2013 62 09</t>
  </si>
  <si>
    <t>Majdan Marek, PhDr., PhD.</t>
  </si>
  <si>
    <t>Training packages for health professionals to improve access and quality of health services for migrants and ethnic minorities, including the Roma</t>
  </si>
  <si>
    <t>01/2014 - 12/2016</t>
  </si>
  <si>
    <t>Education, Audiovisual and Culture Executive Agency</t>
  </si>
  <si>
    <t>543541-LLP-1-2013-1-SI-KA1NWR</t>
  </si>
  <si>
    <t>Machajová Michaela, Mgr., PhD.</t>
  </si>
  <si>
    <t>e-Roma Resource</t>
  </si>
  <si>
    <t>01/01/2014 - 31/12/2015</t>
  </si>
  <si>
    <t>Bražinová Alexandra, MUDr., PhD. MPH</t>
  </si>
  <si>
    <t>GENOVATE</t>
  </si>
  <si>
    <t>01/01/2013 - 31/12/2015</t>
  </si>
  <si>
    <t>527860-LLP-2012-SI-GRUNTVIG-GMP</t>
  </si>
  <si>
    <t>FINALLY</t>
  </si>
  <si>
    <t>1/11/2012 - 31/10/2015</t>
  </si>
  <si>
    <t>Executive Agency for health and consumers</t>
  </si>
  <si>
    <t>2011 12 05/07</t>
  </si>
  <si>
    <t>Action for health</t>
  </si>
  <si>
    <t>15/08/2012 - 15/08/2015</t>
  </si>
  <si>
    <t xml:space="preserve">SK007205A </t>
  </si>
  <si>
    <t>Computerausstattung fur die Theologische Fakultät</t>
  </si>
  <si>
    <t>Zdravotná</t>
  </si>
  <si>
    <t>Teologická</t>
  </si>
  <si>
    <t>Rektorát</t>
  </si>
  <si>
    <t>Trnavská univerzita v Trnave</t>
  </si>
  <si>
    <t>FZSP</t>
  </si>
  <si>
    <t>Spolu filozofická</t>
  </si>
  <si>
    <t>Spolu pedagogická</t>
  </si>
  <si>
    <t>Spolu FZSP</t>
  </si>
  <si>
    <t>Spolu teologická</t>
  </si>
  <si>
    <t>Spolu právnická</t>
  </si>
  <si>
    <t xml:space="preserve">m </t>
  </si>
  <si>
    <t>1.stupeň</t>
  </si>
  <si>
    <t>v %</t>
  </si>
  <si>
    <t>denné</t>
  </si>
  <si>
    <t>externé</t>
  </si>
  <si>
    <t>1.+ 2. stupeň</t>
  </si>
  <si>
    <t>x</t>
  </si>
  <si>
    <t>údaje sú uvedené v %</t>
  </si>
  <si>
    <t>Filozofická fakulta</t>
  </si>
  <si>
    <t>S</t>
  </si>
  <si>
    <t>Bc.</t>
  </si>
  <si>
    <t>D, E</t>
  </si>
  <si>
    <t>Filozofia</t>
  </si>
  <si>
    <t>ošetrovateľstvo</t>
  </si>
  <si>
    <t>ošetrovateľstvodenná</t>
  </si>
  <si>
    <t>D.E</t>
  </si>
  <si>
    <t>laboratórne vyšetrovacie metódy v zdravotníctve</t>
  </si>
  <si>
    <t>D,E</t>
  </si>
  <si>
    <t>sociálna práca</t>
  </si>
  <si>
    <t>sociálna práca v zdravotníctve</t>
  </si>
  <si>
    <t>verejné zdravotníctvo</t>
  </si>
  <si>
    <t>Pedagogická fakulta</t>
  </si>
  <si>
    <t>učiteľstvo akademických predmetov</t>
  </si>
  <si>
    <t>učiteľstvo slovenského jazyka a literatúry v kombinácii</t>
  </si>
  <si>
    <t>učiteľstvo nemeckého jazyka a literatúry v kombinácii</t>
  </si>
  <si>
    <t>učiteľstvo anglického jazyka a literatúry v kombinácii</t>
  </si>
  <si>
    <t>učiteľstvo matematiky v kombinácii</t>
  </si>
  <si>
    <t>učiteľstvo fyziky v kombinácii</t>
  </si>
  <si>
    <t>učiteľstvo informatiky v kombinácii</t>
  </si>
  <si>
    <t>učiteľstvo biológie v kombinácii</t>
  </si>
  <si>
    <t>učiteľstvo chémie v kombinácii</t>
  </si>
  <si>
    <t>učiteľstvo umelecko- výchovných a výchovných predmetov</t>
  </si>
  <si>
    <t>učiteľstvo etickej výchovy v kombinácii</t>
  </si>
  <si>
    <t>učiteľstvo výtvarneho umenia v kombinácii</t>
  </si>
  <si>
    <t>animácia výtvarného umenia</t>
  </si>
  <si>
    <t>pedagogika</t>
  </si>
  <si>
    <t>sociálna pedagogika a vychovávateľstvo</t>
  </si>
  <si>
    <t>predškolská a elementárna pedagogika</t>
  </si>
  <si>
    <t>Právnická fakulta</t>
  </si>
  <si>
    <t>Teologická fakulta</t>
  </si>
  <si>
    <t>E</t>
  </si>
  <si>
    <t>Mgr.</t>
  </si>
  <si>
    <t>riadenie a organizácia sociálnych služieb</t>
  </si>
  <si>
    <t xml:space="preserve"> učiteľstvo akademických predmetov</t>
  </si>
  <si>
    <t>učiteľstvo umelecko-výchovných a výchovných predmetov</t>
  </si>
  <si>
    <t>pedagogika výtvarného umenia</t>
  </si>
  <si>
    <t>učiteľstvo pre primárne vzdelávanie</t>
  </si>
  <si>
    <t>predškolská pedagogika</t>
  </si>
  <si>
    <t>PhD.</t>
  </si>
  <si>
    <t>odborová didaktika</t>
  </si>
  <si>
    <t>prvý</t>
  </si>
  <si>
    <t>druhý</t>
  </si>
  <si>
    <t xml:space="preserve">E </t>
  </si>
  <si>
    <t>tretí</t>
  </si>
  <si>
    <t xml:space="preserve">D </t>
  </si>
  <si>
    <t>učiteľstvo profesijných predmetov a praktickej prípravy</t>
  </si>
  <si>
    <t>učiteľstvo praktických potravinárskych a chemických predmetov</t>
  </si>
  <si>
    <t>Fakulta zdravotníctva a sociálnej práce</t>
  </si>
  <si>
    <t>Spolu FZaSP</t>
  </si>
  <si>
    <t>Spolu TU v Trnave</t>
  </si>
  <si>
    <t>Tabuľka č. 9: Výberové konania na miesta vysokoškolských učiteľov uskutočnené v roku 2015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</si>
  <si>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</si>
  <si>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</si>
  <si>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</si>
  <si>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</si>
  <si>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</si>
  <si>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</si>
  <si>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</si>
  <si>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</si>
  <si>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</si>
  <si>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</si>
  <si>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</si>
  <si>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</si>
  <si>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</si>
  <si>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</si>
  <si>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</si>
  <si>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</si>
  <si>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</si>
  <si>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Ústav dejín</t>
  </si>
  <si>
    <t>ZZY - 6</t>
  </si>
  <si>
    <t>YYZ - 1</t>
  </si>
  <si>
    <t>ZYZ - 9</t>
  </si>
  <si>
    <t>YVZ - 1</t>
  </si>
  <si>
    <t>ZYY - 2</t>
  </si>
  <si>
    <t>ZYX - 3</t>
  </si>
  <si>
    <t>ZYV - 6</t>
  </si>
  <si>
    <t>ZVZ - 4</t>
  </si>
  <si>
    <t>ZVY - 6</t>
  </si>
  <si>
    <t>ZVX - 1</t>
  </si>
  <si>
    <t>ZVV - 2</t>
  </si>
  <si>
    <t xml:space="preserve">Pedagogická </t>
  </si>
  <si>
    <t>ZZY - 4</t>
  </si>
  <si>
    <t>YZV - 1</t>
  </si>
  <si>
    <t>ZZV - 1</t>
  </si>
  <si>
    <t>YYV - 1</t>
  </si>
  <si>
    <t>ZYY - 6</t>
  </si>
  <si>
    <t>YVZ - 2</t>
  </si>
  <si>
    <t>ZVZ - 12</t>
  </si>
  <si>
    <t>ZVY - 15</t>
  </si>
  <si>
    <t xml:space="preserve">Zdravotníctva a sociálnej práce </t>
  </si>
  <si>
    <t xml:space="preserve">Právnická </t>
  </si>
  <si>
    <t>dejiny ateória umenia</t>
  </si>
  <si>
    <t>etika</t>
  </si>
  <si>
    <t>filozofia</t>
  </si>
  <si>
    <t>história</t>
  </si>
  <si>
    <t>klasická archeológia</t>
  </si>
  <si>
    <t>klasické jazyky</t>
  </si>
  <si>
    <t>politológia</t>
  </si>
  <si>
    <t>psychológia</t>
  </si>
  <si>
    <t>sociológia</t>
  </si>
  <si>
    <t>filozofia, Katolícka teológia</t>
  </si>
  <si>
    <t>katolícka teológia</t>
  </si>
  <si>
    <t>sociálna práca, Katolícka teológia</t>
  </si>
  <si>
    <t>učiteľstvo predmetov</t>
  </si>
  <si>
    <t>dejiny a teória výtvarného umenia a architektúry</t>
  </si>
  <si>
    <t>slovenské dejiny</t>
  </si>
  <si>
    <t>sociálna psychológia a psychológia práce</t>
  </si>
  <si>
    <t>systematická filozofia</t>
  </si>
  <si>
    <t>teória a dejiny štátu a práva</t>
  </si>
  <si>
    <t>pracovné právo</t>
  </si>
  <si>
    <t>trestné právo</t>
  </si>
  <si>
    <t>základy kresťanskej filozofie a katolíckej teológie</t>
  </si>
  <si>
    <t>náuka o rodine</t>
  </si>
  <si>
    <t>kresťanská filozofia</t>
  </si>
  <si>
    <t>formácia a vedenie spoločenstiev</t>
  </si>
  <si>
    <t>sociálna práca so zameraním na rodinu</t>
  </si>
  <si>
    <t>učiteľstvo náboženskej výchovy  (v kombinácii)</t>
  </si>
  <si>
    <t>kognitívne štúdiá</t>
  </si>
  <si>
    <t>klasické jazyky - latinská medievalistika a novolatinistika</t>
  </si>
  <si>
    <t>etika a morálna filozofia</t>
  </si>
  <si>
    <t>sociálna psychológia</t>
  </si>
  <si>
    <t>školská pedagogika</t>
  </si>
  <si>
    <t>teória chemického vzdelávania</t>
  </si>
  <si>
    <t>teória biologického vzdelávania</t>
  </si>
  <si>
    <t>SJ</t>
  </si>
  <si>
    <t>SJ, AJ</t>
  </si>
  <si>
    <t>Tabuľka č. 15: Zoznam akreditovaných študijných programov ponúkaných k 1. 9. 2015</t>
  </si>
  <si>
    <t>Tabuľka č. 16: Zoznam akreditovaných študijných programov - pozastavenie práva, odňatie práva alebo skončenie platnosti priznaného práva k 31. 12. 2015</t>
  </si>
  <si>
    <t>systematická  filozofia</t>
  </si>
  <si>
    <t>AJ</t>
  </si>
  <si>
    <t>učiteľstvo umeleckovýchovných a výchovných predmetov</t>
  </si>
  <si>
    <t>filozofia, katolícka teológia</t>
  </si>
  <si>
    <t>Tabuľka č. 18: Zoznam priznaných práv uskutočňovať habilitačné konanie a konanie na vymenúvanie profesorov - pozastavenie, odňatie alebo skončenie platnosti priznaného práva k 31. 12. 2015</t>
  </si>
  <si>
    <t>ZZY</t>
  </si>
  <si>
    <t>Baláž Blažej</t>
  </si>
  <si>
    <t>Blažej Baláž - Private / Public</t>
  </si>
  <si>
    <t>Galéria umenia Ernesta Zmetáka, Nové Zámky</t>
  </si>
  <si>
    <t>22. 05. 2015 - 27. 06. 2015</t>
  </si>
  <si>
    <t>Gajdoš Roman</t>
  </si>
  <si>
    <t>Rónaiová Veronika</t>
  </si>
  <si>
    <t>Veronika Rónaiová - László Győrffy : Trójsky kôň</t>
  </si>
  <si>
    <t>10. 04. 2015 - 16. 05. 2015</t>
  </si>
  <si>
    <t>Veronika Rónaiová: Unlimited</t>
  </si>
  <si>
    <t>Galéria Alfa, Kasárne-Kulturpark, Košice</t>
  </si>
  <si>
    <t>17. 02. 2015 - 25. 03. 2015</t>
  </si>
  <si>
    <t>Blažej Baláž - Keď sa aktivizmus stáva umením / When activism becomes art</t>
  </si>
  <si>
    <t>Stredoslovenská galéria, Banská Bystrica</t>
  </si>
  <si>
    <t>24. 09. 2015 - 08. 11. 2015</t>
  </si>
  <si>
    <t>ZYZ</t>
  </si>
  <si>
    <t>Must ja valge - Tallinna V rahvusvaheline joonistustriennaal / Black and white - Tallinn 5th international drawing triennial</t>
  </si>
  <si>
    <t>Tallinna Kunstihoone / Tallinn art hall, Tallinn</t>
  </si>
  <si>
    <t>22. 08. 2015 - 27. 09. 2015</t>
  </si>
  <si>
    <t>Balážová Mária</t>
  </si>
  <si>
    <t>Jiný pohled - Tvorba laureátů Bienále kresby Plzeň 1996-2014 / A different perspective - Artwork by the laureates of the Biennial of drawing Pilsen 1996-2014</t>
  </si>
  <si>
    <t>Bienále kresby Plzeň, Plzeň</t>
  </si>
  <si>
    <t>15. 10. 2015 - 29. 11. 2015</t>
  </si>
  <si>
    <t>Itt és most - Képzőművészet. Nemzeti szalon 2015 / Here and now - Fine arts. National salon 2015</t>
  </si>
  <si>
    <t>MUCSARNOK, Budapešť</t>
  </si>
  <si>
    <t>25. 04. 2015 - 19. 07. 2015</t>
  </si>
  <si>
    <t>Branišová Zuzana</t>
  </si>
  <si>
    <t>5th Triennial of Textile Art/5th International Triennial of Miniature Textiles</t>
  </si>
  <si>
    <t>Gallery of Szombathely, Szombathely</t>
  </si>
  <si>
    <t>26. 06. 2015 - 28. 11. 2015</t>
  </si>
  <si>
    <t>Moravčík Michal</t>
  </si>
  <si>
    <t>The Prague Qadrennial of performance design and space</t>
  </si>
  <si>
    <t>Clam - Gallasov palác, Praha</t>
  </si>
  <si>
    <t>18. 06. 2015 - 28. 06. 2015</t>
  </si>
  <si>
    <t>Blažo Cyril</t>
  </si>
  <si>
    <t>6th Moscow Biennale of Contemporary Art : Strange things</t>
  </si>
  <si>
    <t>Belyaevo Gallery, Moskva</t>
  </si>
  <si>
    <t>23. 09. 2015 - 18. 10. 2015</t>
  </si>
  <si>
    <t>ZYY</t>
  </si>
  <si>
    <t>Koridor / Corridor</t>
  </si>
  <si>
    <t>TRANZIT, Bratislava</t>
  </si>
  <si>
    <t>25. 09. 2015 - 21. 11. 2015</t>
  </si>
  <si>
    <t>Rekonštrukcie</t>
  </si>
  <si>
    <t>Slovenská národná galéria, Bratislava</t>
  </si>
  <si>
    <t>08. 09. 2015 - 16. 10. 2015</t>
  </si>
  <si>
    <t>ZYX</t>
  </si>
  <si>
    <t>Miękkie kody. Tendencje konceptualne w sztuce słowackiej / The soft codes. Conceptual tendencies in Slovak art</t>
  </si>
  <si>
    <t>Muzeum Współczesne Wrocław, Wroclaw</t>
  </si>
  <si>
    <t>20. 03. 2015 - 18. 05. 2015</t>
  </si>
  <si>
    <t>Close-Up</t>
  </si>
  <si>
    <t>Etc. galerie, Praha</t>
  </si>
  <si>
    <t>16. 04. 2015 - 17. 05. 2015</t>
  </si>
  <si>
    <t>Konkrétní podzim 2015 - Tojúhelník</t>
  </si>
  <si>
    <t>Galerie u Přívozu - Studijní a vědecká knihovna v Hradci Králové, Hradec Králové</t>
  </si>
  <si>
    <t>05. 10. 2015 - 31. 10. 2015</t>
  </si>
  <si>
    <t>ZYV</t>
  </si>
  <si>
    <t>Rožňavské radiály 3.03 - Zostane to v rodine</t>
  </si>
  <si>
    <t>Galéria baníckeho múzea, Rožňava</t>
  </si>
  <si>
    <t>06. 08. 2015 - 20. 09. 2015</t>
  </si>
  <si>
    <t>Čerstvý nákup</t>
  </si>
  <si>
    <t>Mestská galéria Rimavská Sobota, Rimavská Sobota</t>
  </si>
  <si>
    <t>02. 09. 2015 - 12. 10. 2015</t>
  </si>
  <si>
    <t>85 ŠUR-ŠUP-ŠÚR : Výstava k 85. výročiu založenia školy úžitkového výtvarníctva Josefa Vydru</t>
  </si>
  <si>
    <t>Zoya museum Elesko, Modra</t>
  </si>
  <si>
    <t>06. 09. 2015 - 28. 10. 2015</t>
  </si>
  <si>
    <t>PF pre Kolomana Sokola 2005 - 2014 : výber z desiatich ročníkov projektu</t>
  </si>
  <si>
    <t>Rumanský Art Centre, Liptovský Mikuláš</t>
  </si>
  <si>
    <t>13. 03. 2015 - 15. 05. 2015</t>
  </si>
  <si>
    <t>Strach. Pôvod štátu.</t>
  </si>
  <si>
    <t>Nová synagóga / Kunsthalle Žilina, Žilina</t>
  </si>
  <si>
    <t>24. 09. 2015 - 28. 10. 2015</t>
  </si>
  <si>
    <t>Papier kole : slovenská koláž</t>
  </si>
  <si>
    <t>Galéria umelcov Spiša, Spišská Nová Ves</t>
  </si>
  <si>
    <t>14. 10. 2015 - 06. 12. 2015</t>
  </si>
  <si>
    <t>ZVZ</t>
  </si>
  <si>
    <t>A vörös vonalok mögött / Beyond the red lines</t>
  </si>
  <si>
    <t>Studio Gallery, Budapest</t>
  </si>
  <si>
    <t>18. 02. 2015 - 06. 03. 2015</t>
  </si>
  <si>
    <t>Treći internacionalni salon grafike / Third international salon of graphics</t>
  </si>
  <si>
    <t>Gradska galerija Kraljevo / City Gallery Kraljevo, Kraljevo</t>
  </si>
  <si>
    <t>21. 04. 2015 - 28. 04. 2015</t>
  </si>
  <si>
    <t>Ausgewählte Werke der Biennale Der Zeichenkunst Pilsen 2014 / The best works of the Biennial of drawing pilsen 2014 / Nejlepší díla Bienále kresby Plzeň 2014</t>
  </si>
  <si>
    <t>Centrum Bavaria Bohemia (CeBB), Schönsee</t>
  </si>
  <si>
    <t>09. 04. 2015 - 17. 05. 2015</t>
  </si>
  <si>
    <t>Képzelt közösségek, magánképzetek / Imagined communities, personal imaginations : Privát Nacionalizmus Budapest / Private Nationalism Budapest</t>
  </si>
  <si>
    <t>Budapest Galéria, Budapešť</t>
  </si>
  <si>
    <t>27. 10. 2015 - 13. 12. 2015</t>
  </si>
  <si>
    <t>ZVY</t>
  </si>
  <si>
    <t>Reset 2015 / XI. trienále malého objektu a kresby</t>
  </si>
  <si>
    <t>Galéria Jozefa Kollára, Banská Štavnica</t>
  </si>
  <si>
    <t>19. 06. 2015 - 09. 08. 2015</t>
  </si>
  <si>
    <t>Poe(vi)zia - vizuálna poézia</t>
  </si>
  <si>
    <t>Galéria Medium, Bratislava</t>
  </si>
  <si>
    <t>08. 10. 2015 - 25. 10. 2015</t>
  </si>
  <si>
    <t>Bienále Forma 2015</t>
  </si>
  <si>
    <t>Umelka, Galéria slovenskej výtvarnej únie, Bratislava</t>
  </si>
  <si>
    <t>08. 10. 2015 - 01. 11. 2015</t>
  </si>
  <si>
    <t>Všade dobre, doma najlepšie</t>
  </si>
  <si>
    <t>Kunsthalle/Hala umenia Košice, Košice</t>
  </si>
  <si>
    <t>11. 06. 2015 - 16. 08. 2015</t>
  </si>
  <si>
    <t>Tekutá múza. Alkohol a vizuálna kultúra</t>
  </si>
  <si>
    <t>06. 03. 2015 - 31. 05. 2015</t>
  </si>
  <si>
    <t>Idea štátnosti - hranice - politický extrémizmus: Privátny nacionalizmus 3</t>
  </si>
  <si>
    <t>Open Gallery, Bratislava</t>
  </si>
  <si>
    <t>24. 02. 2015 - 28. 02. 2015</t>
  </si>
  <si>
    <t>ZVX</t>
  </si>
  <si>
    <t>XII. Međunarodni grafički bijenale Suva Igla Užice 2015 / XII. International print biennial Dry Point Užice</t>
  </si>
  <si>
    <t>Gradska galerija Užice [Institucia], Užice</t>
  </si>
  <si>
    <t>18. 08. 2015 - 01. 10. 2015</t>
  </si>
  <si>
    <t>ZVV</t>
  </si>
  <si>
    <t>YYZ</t>
  </si>
  <si>
    <t>35é mini print internacional de Cadaqués / 35th mini print international of Cadaqués</t>
  </si>
  <si>
    <t>Taller Galeria Fort, Cadaqués</t>
  </si>
  <si>
    <t>27. 06. 2015 - 30. 09. 2015</t>
  </si>
  <si>
    <t>YVX</t>
  </si>
  <si>
    <t>Sonda</t>
  </si>
  <si>
    <t>Galerija Matice hrvatske, Záhreb</t>
  </si>
  <si>
    <t>23. 11. 2015 - 07.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</si>
</sst>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.0"/>
    <numFmt numFmtId="165" formatCode="0.0%"/>
  </numFmts>
  <fonts count="31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48"/>
      <name val="Times New Roman"/>
      <family val="1"/>
      <charset val="238"/>
    </font>
    <font>
      <sz val="12"/>
      <name val="Times New Roman"/>
      <charset val="238"/>
    </font>
    <font>
      <sz val="8"/>
      <color indexed="81"/>
      <name val="Tahoma"/>
      <charset val="1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2"/>
      <name val="Arial"/>
      <family val="2"/>
      <charset val="238"/>
    </font>
    <font>
      <b/>
      <sz val="12"/>
      <color rgb="FF00B0F0"/>
      <name val="Times New Roman"/>
      <family val="1"/>
      <charset val="238"/>
    </font>
    <font>
      <sz val="9"/>
      <name val="Arial"/>
      <family val="2"/>
      <charset val="238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9" fontId="10" fillId="0" borderId="0" applyFont="0" applyFill="0" applyBorder="0" applyAlignment="0" applyProtection="0"/>
    <xf numFmtId="0" fontId="15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2" fillId="0" borderId="0"/>
    <xf numFmtId="0" fontId="24" fillId="0" borderId="0"/>
    <xf numFmtId="0" fontId="5" fillId="0" borderId="0"/>
  </cellStyleXfs>
  <cellXfs count="5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5" fillId="0" borderId="16" xfId="0" applyFont="1" applyBorder="1" applyAlignment="1">
      <alignment horizontal="center" vertical="center" wrapText="1"/>
    </xf>
    <xf numFmtId="0" fontId="0" fillId="0" borderId="4" xfId="0" applyBorder="1" applyAlignment="1"/>
    <xf numFmtId="0" fontId="12" fillId="0" borderId="0" xfId="0" applyFont="1"/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vertical="top" wrapText="1"/>
    </xf>
    <xf numFmtId="3" fontId="14" fillId="0" borderId="0" xfId="0" applyNumberFormat="1" applyFont="1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3" fontId="14" fillId="0" borderId="0" xfId="2" applyNumberFormat="1" applyFont="1" applyFill="1" applyBorder="1" applyAlignment="1">
      <alignment vertical="top" wrapText="1"/>
    </xf>
    <xf numFmtId="3" fontId="16" fillId="0" borderId="0" xfId="2" applyNumberFormat="1" applyFont="1" applyFill="1" applyBorder="1" applyAlignment="1">
      <alignment vertical="center" wrapText="1"/>
    </xf>
    <xf numFmtId="3" fontId="14" fillId="0" borderId="0" xfId="2" applyNumberFormat="1" applyFont="1" applyBorder="1" applyAlignment="1">
      <alignment vertical="top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3" applyNumberFormat="1" applyFont="1" applyFill="1" applyBorder="1" applyAlignment="1">
      <alignment vertical="center" wrapText="1"/>
    </xf>
    <xf numFmtId="3" fontId="14" fillId="0" borderId="0" xfId="4" applyNumberFormat="1" applyFont="1" applyFill="1" applyBorder="1" applyAlignment="1">
      <alignment vertical="center" wrapText="1"/>
    </xf>
    <xf numFmtId="3" fontId="14" fillId="0" borderId="0" xfId="5" applyNumberFormat="1" applyFont="1" applyFill="1" applyBorder="1" applyAlignment="1">
      <alignment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vertical="top" wrapText="1"/>
    </xf>
    <xf numFmtId="3" fontId="14" fillId="0" borderId="0" xfId="3" applyNumberFormat="1" applyFont="1" applyFill="1" applyBorder="1" applyAlignment="1">
      <alignment vertical="top" wrapText="1"/>
    </xf>
    <xf numFmtId="3" fontId="14" fillId="0" borderId="0" xfId="4" applyNumberFormat="1" applyFont="1" applyFill="1" applyBorder="1" applyAlignment="1">
      <alignment vertical="top" wrapText="1"/>
    </xf>
    <xf numFmtId="3" fontId="14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7" fillId="0" borderId="0" xfId="0" applyFont="1"/>
    <xf numFmtId="0" fontId="6" fillId="0" borderId="0" xfId="0" applyFont="1" applyAlignment="1">
      <alignment horizont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 wrapText="1"/>
    </xf>
    <xf numFmtId="1" fontId="24" fillId="4" borderId="1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vertical="center" wrapText="1"/>
    </xf>
    <xf numFmtId="4" fontId="24" fillId="4" borderId="1" xfId="0" applyNumberFormat="1" applyFont="1" applyFill="1" applyBorder="1" applyAlignment="1">
      <alignment horizontal="right" vertical="center"/>
    </xf>
    <xf numFmtId="8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0" fillId="0" borderId="0" xfId="0" applyBorder="1" applyAlignment="1"/>
    <xf numFmtId="0" fontId="23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1" fontId="23" fillId="0" borderId="1" xfId="0" applyNumberFormat="1" applyFont="1" applyBorder="1" applyAlignment="1">
      <alignment horizontal="right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/>
    <xf numFmtId="0" fontId="24" fillId="4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4" fillId="4" borderId="1" xfId="8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/>
    <xf numFmtId="0" fontId="23" fillId="0" borderId="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4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1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7" xfId="0" applyFont="1" applyFill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24" fillId="2" borderId="38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32" xfId="0" applyFont="1" applyBorder="1"/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39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4" xfId="0" applyFont="1" applyBorder="1" applyAlignment="1">
      <alignment horizontal="left" wrapText="1"/>
    </xf>
    <xf numFmtId="0" fontId="23" fillId="2" borderId="1" xfId="0" applyFont="1" applyFill="1" applyBorder="1" applyAlignment="1">
      <alignment horizontal="left" vertical="center" wrapText="1"/>
    </xf>
    <xf numFmtId="164" fontId="24" fillId="2" borderId="4" xfId="0" applyNumberFormat="1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164" fontId="23" fillId="2" borderId="1" xfId="0" applyNumberFormat="1" applyFont="1" applyFill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164" fontId="24" fillId="4" borderId="1" xfId="0" applyNumberFormat="1" applyFont="1" applyFill="1" applyBorder="1"/>
    <xf numFmtId="0" fontId="23" fillId="0" borderId="0" xfId="0" applyFont="1"/>
    <xf numFmtId="0" fontId="24" fillId="0" borderId="0" xfId="0" applyFont="1" applyAlignment="1"/>
    <xf numFmtId="0" fontId="23" fillId="2" borderId="1" xfId="0" applyFont="1" applyFill="1" applyBorder="1" applyAlignment="1">
      <alignment horizontal="left"/>
    </xf>
    <xf numFmtId="0" fontId="24" fillId="0" borderId="23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4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0" applyFont="1" applyBorder="1"/>
    <xf numFmtId="165" fontId="24" fillId="0" borderId="4" xfId="1" applyNumberFormat="1" applyFont="1" applyBorder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3" fillId="0" borderId="0" xfId="0" applyFont="1" applyBorder="1"/>
    <xf numFmtId="0" fontId="24" fillId="0" borderId="0" xfId="0" applyFont="1" applyAlignment="1">
      <alignment wrapText="1"/>
    </xf>
    <xf numFmtId="0" fontId="24" fillId="0" borderId="31" xfId="0" applyFont="1" applyBorder="1" applyAlignment="1">
      <alignment horizontal="center" vertical="center" wrapText="1"/>
    </xf>
    <xf numFmtId="0" fontId="24" fillId="0" borderId="4" xfId="0" applyFont="1" applyBorder="1" applyAlignment="1">
      <alignment wrapText="1"/>
    </xf>
    <xf numFmtId="0" fontId="24" fillId="2" borderId="37" xfId="0" applyFont="1" applyFill="1" applyBorder="1"/>
    <xf numFmtId="0" fontId="24" fillId="2" borderId="43" xfId="0" applyFont="1" applyFill="1" applyBorder="1" applyAlignment="1"/>
    <xf numFmtId="0" fontId="24" fillId="2" borderId="51" xfId="0" applyFont="1" applyFill="1" applyBorder="1"/>
    <xf numFmtId="0" fontId="24" fillId="0" borderId="4" xfId="0" applyFont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24" fillId="4" borderId="4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164" fontId="24" fillId="2" borderId="12" xfId="0" applyNumberFormat="1" applyFont="1" applyFill="1" applyBorder="1" applyAlignment="1">
      <alignment horizontal="center"/>
    </xf>
    <xf numFmtId="164" fontId="24" fillId="2" borderId="13" xfId="0" applyNumberFormat="1" applyFont="1" applyFill="1" applyBorder="1" applyAlignment="1">
      <alignment horizontal="center"/>
    </xf>
    <xf numFmtId="164" fontId="24" fillId="2" borderId="31" xfId="0" applyNumberFormat="1" applyFont="1" applyFill="1" applyBorder="1" applyAlignment="1">
      <alignment horizontal="center"/>
    </xf>
    <xf numFmtId="0" fontId="24" fillId="0" borderId="14" xfId="0" applyFont="1" applyBorder="1"/>
    <xf numFmtId="0" fontId="24" fillId="0" borderId="14" xfId="0" applyFont="1" applyBorder="1" applyAlignment="1">
      <alignment horizontal="center" vertical="center"/>
    </xf>
    <xf numFmtId="0" fontId="24" fillId="0" borderId="7" xfId="0" applyFont="1" applyBorder="1"/>
    <xf numFmtId="0" fontId="24" fillId="0" borderId="8" xfId="0" applyFont="1" applyBorder="1"/>
    <xf numFmtId="0" fontId="24" fillId="0" borderId="16" xfId="0" applyFont="1" applyBorder="1"/>
    <xf numFmtId="0" fontId="24" fillId="0" borderId="4" xfId="0" applyFont="1" applyFill="1" applyBorder="1" applyAlignment="1">
      <alignment vertical="center" wrapText="1"/>
    </xf>
    <xf numFmtId="0" fontId="24" fillId="0" borderId="14" xfId="0" applyFont="1" applyFill="1" applyBorder="1"/>
    <xf numFmtId="0" fontId="24" fillId="0" borderId="4" xfId="0" applyFont="1" applyFill="1" applyBorder="1" applyAlignment="1">
      <alignment horizontal="center"/>
    </xf>
    <xf numFmtId="14" fontId="24" fillId="0" borderId="4" xfId="0" applyNumberFormat="1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/>
    <xf numFmtId="0" fontId="24" fillId="0" borderId="16" xfId="0" applyFont="1" applyFill="1" applyBorder="1" applyAlignment="1">
      <alignment wrapText="1"/>
    </xf>
    <xf numFmtId="0" fontId="24" fillId="0" borderId="7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24" fillId="0" borderId="11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45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4" xfId="0" applyFont="1" applyBorder="1" applyAlignment="1"/>
    <xf numFmtId="0" fontId="24" fillId="0" borderId="1" xfId="0" applyFont="1" applyBorder="1" applyAlignment="1"/>
    <xf numFmtId="0" fontId="24" fillId="0" borderId="14" xfId="0" applyFont="1" applyBorder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left"/>
    </xf>
    <xf numFmtId="0" fontId="24" fillId="0" borderId="32" xfId="0" applyFont="1" applyFill="1" applyBorder="1" applyAlignment="1">
      <alignment horizontal="left" wrapText="1"/>
    </xf>
    <xf numFmtId="164" fontId="24" fillId="0" borderId="1" xfId="0" applyNumberFormat="1" applyFont="1" applyFill="1" applyBorder="1"/>
    <xf numFmtId="164" fontId="24" fillId="0" borderId="8" xfId="0" applyNumberFormat="1" applyFont="1" applyFill="1" applyBorder="1"/>
    <xf numFmtId="164" fontId="24" fillId="0" borderId="41" xfId="0" applyNumberFormat="1" applyFont="1" applyFill="1" applyBorder="1"/>
    <xf numFmtId="164" fontId="24" fillId="0" borderId="32" xfId="0" applyNumberFormat="1" applyFont="1" applyFill="1" applyBorder="1"/>
    <xf numFmtId="164" fontId="24" fillId="0" borderId="39" xfId="0" applyNumberFormat="1" applyFont="1" applyFill="1" applyBorder="1"/>
    <xf numFmtId="0" fontId="24" fillId="0" borderId="32" xfId="0" applyFont="1" applyBorder="1" applyAlignment="1">
      <alignment horizontal="left" wrapText="1"/>
    </xf>
    <xf numFmtId="0" fontId="24" fillId="0" borderId="41" xfId="0" applyFont="1" applyBorder="1"/>
    <xf numFmtId="0" fontId="24" fillId="0" borderId="39" xfId="0" applyFont="1" applyBorder="1"/>
    <xf numFmtId="0" fontId="24" fillId="2" borderId="32" xfId="0" applyFont="1" applyFill="1" applyBorder="1" applyAlignment="1">
      <alignment horizontal="left" wrapText="1"/>
    </xf>
    <xf numFmtId="0" fontId="24" fillId="2" borderId="3" xfId="0" applyFont="1" applyFill="1" applyBorder="1"/>
    <xf numFmtId="0" fontId="24" fillId="2" borderId="49" xfId="0" applyFont="1" applyFill="1" applyBorder="1"/>
    <xf numFmtId="0" fontId="24" fillId="2" borderId="33" xfId="0" applyFont="1" applyFill="1" applyBorder="1"/>
    <xf numFmtId="0" fontId="24" fillId="2" borderId="36" xfId="0" applyFont="1" applyFill="1" applyBorder="1"/>
    <xf numFmtId="0" fontId="24" fillId="2" borderId="27" xfId="0" applyFont="1" applyFill="1" applyBorder="1" applyAlignment="1">
      <alignment horizontal="left" wrapText="1"/>
    </xf>
    <xf numFmtId="164" fontId="24" fillId="2" borderId="13" xfId="1" applyNumberFormat="1" applyFont="1" applyFill="1" applyBorder="1"/>
    <xf numFmtId="164" fontId="24" fillId="2" borderId="42" xfId="1" applyNumberFormat="1" applyFont="1" applyFill="1" applyBorder="1"/>
    <xf numFmtId="164" fontId="24" fillId="2" borderId="51" xfId="1" applyNumberFormat="1" applyFont="1" applyFill="1" applyBorder="1"/>
    <xf numFmtId="164" fontId="24" fillId="2" borderId="31" xfId="1" applyNumberFormat="1" applyFont="1" applyFill="1" applyBorder="1"/>
    <xf numFmtId="0" fontId="24" fillId="2" borderId="1" xfId="1" applyNumberFormat="1" applyFont="1" applyFill="1" applyBorder="1" applyAlignment="1">
      <alignment horizontal="center"/>
    </xf>
    <xf numFmtId="164" fontId="24" fillId="2" borderId="8" xfId="0" applyNumberFormat="1" applyFont="1" applyFill="1" applyBorder="1" applyAlignment="1">
      <alignment horizontal="center"/>
    </xf>
    <xf numFmtId="164" fontId="24" fillId="2" borderId="41" xfId="0" applyNumberFormat="1" applyFont="1" applyFill="1" applyBorder="1" applyAlignment="1">
      <alignment horizontal="center"/>
    </xf>
    <xf numFmtId="164" fontId="24" fillId="2" borderId="54" xfId="0" applyNumberFormat="1" applyFont="1" applyFill="1" applyBorder="1" applyAlignment="1">
      <alignment horizontal="center"/>
    </xf>
    <xf numFmtId="0" fontId="24" fillId="0" borderId="1" xfId="1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8" xfId="0" applyNumberFormat="1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164" fontId="24" fillId="2" borderId="13" xfId="1" applyNumberFormat="1" applyFont="1" applyFill="1" applyBorder="1" applyAlignment="1">
      <alignment horizontal="center"/>
    </xf>
    <xf numFmtId="164" fontId="24" fillId="2" borderId="53" xfId="1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24" fillId="0" borderId="2" xfId="0" applyNumberFormat="1" applyFont="1" applyBorder="1" applyAlignment="1">
      <alignment horizontal="center"/>
    </xf>
    <xf numFmtId="0" fontId="24" fillId="0" borderId="0" xfId="0" applyFont="1" applyFill="1" applyAlignment="1">
      <alignment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4" fillId="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center"/>
    </xf>
    <xf numFmtId="0" fontId="23" fillId="2" borderId="50" xfId="0" applyFont="1" applyFill="1" applyBorder="1" applyAlignment="1">
      <alignment horizontal="center"/>
    </xf>
    <xf numFmtId="0" fontId="23" fillId="2" borderId="1" xfId="0" applyFont="1" applyFill="1" applyBorder="1" applyAlignment="1"/>
    <xf numFmtId="0" fontId="24" fillId="0" borderId="0" xfId="0" applyFont="1" applyFill="1" applyBorder="1" applyAlignment="1">
      <alignment horizontal="left"/>
    </xf>
    <xf numFmtId="0" fontId="24" fillId="0" borderId="0" xfId="1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164" fontId="24" fillId="0" borderId="18" xfId="0" applyNumberFormat="1" applyFont="1" applyFill="1" applyBorder="1" applyAlignment="1">
      <alignment horizontal="center"/>
    </xf>
    <xf numFmtId="164" fontId="24" fillId="0" borderId="63" xfId="0" applyNumberFormat="1" applyFont="1" applyFill="1" applyBorder="1" applyAlignment="1">
      <alignment horizontal="center"/>
    </xf>
    <xf numFmtId="0" fontId="0" fillId="0" borderId="18" xfId="0" applyBorder="1"/>
    <xf numFmtId="0" fontId="23" fillId="2" borderId="32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/>
    </xf>
    <xf numFmtId="0" fontId="23" fillId="2" borderId="48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/>
    </xf>
    <xf numFmtId="0" fontId="23" fillId="2" borderId="52" xfId="0" applyFont="1" applyFill="1" applyBorder="1" applyAlignment="1">
      <alignment horizontal="center"/>
    </xf>
    <xf numFmtId="0" fontId="23" fillId="2" borderId="40" xfId="0" applyFont="1" applyFill="1" applyBorder="1"/>
    <xf numFmtId="0" fontId="23" fillId="2" borderId="10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38" xfId="0" applyFont="1" applyFill="1" applyBorder="1" applyAlignment="1">
      <alignment horizontal="center"/>
    </xf>
    <xf numFmtId="0" fontId="23" fillId="2" borderId="42" xfId="0" applyFont="1" applyFill="1" applyBorder="1" applyAlignment="1">
      <alignment horizontal="left" vertical="center"/>
    </xf>
    <xf numFmtId="164" fontId="23" fillId="2" borderId="12" xfId="0" applyNumberFormat="1" applyFont="1" applyFill="1" applyBorder="1" applyAlignment="1">
      <alignment horizontal="center"/>
    </xf>
    <xf numFmtId="164" fontId="23" fillId="2" borderId="13" xfId="0" applyNumberFormat="1" applyFont="1" applyFill="1" applyBorder="1" applyAlignment="1">
      <alignment horizontal="center"/>
    </xf>
    <xf numFmtId="164" fontId="23" fillId="2" borderId="31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Alignment="1">
      <alignment horizont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4" fillId="0" borderId="37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2" borderId="1" xfId="0" applyFont="1" applyFill="1" applyBorder="1"/>
    <xf numFmtId="0" fontId="23" fillId="0" borderId="14" xfId="0" applyFont="1" applyBorder="1" applyAlignment="1">
      <alignment horizontal="left" vertical="center" wrapText="1"/>
    </xf>
    <xf numFmtId="0" fontId="24" fillId="0" borderId="4" xfId="9" applyFont="1" applyBorder="1" applyAlignment="1">
      <alignment wrapText="1"/>
    </xf>
    <xf numFmtId="0" fontId="24" fillId="0" borderId="4" xfId="9" applyFont="1" applyBorder="1"/>
    <xf numFmtId="0" fontId="24" fillId="0" borderId="4" xfId="9" applyFont="1" applyBorder="1" applyAlignment="1">
      <alignment horizontal="center"/>
    </xf>
    <xf numFmtId="0" fontId="24" fillId="0" borderId="1" xfId="9" applyFont="1" applyBorder="1"/>
    <xf numFmtId="0" fontId="24" fillId="0" borderId="1" xfId="9" applyFont="1" applyBorder="1" applyAlignment="1">
      <alignment horizontal="center"/>
    </xf>
    <xf numFmtId="0" fontId="24" fillId="0" borderId="9" xfId="9" applyFont="1" applyBorder="1"/>
    <xf numFmtId="0" fontId="24" fillId="0" borderId="1" xfId="9" applyFont="1" applyFill="1" applyBorder="1" applyAlignment="1">
      <alignment horizontal="center"/>
    </xf>
    <xf numFmtId="0" fontId="24" fillId="0" borderId="9" xfId="9" applyFont="1" applyFill="1" applyBorder="1"/>
    <xf numFmtId="0" fontId="24" fillId="0" borderId="1" xfId="9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5" xfId="9" applyFont="1" applyBorder="1"/>
    <xf numFmtId="0" fontId="24" fillId="0" borderId="5" xfId="9" applyFont="1" applyFill="1" applyBorder="1" applyAlignment="1">
      <alignment horizontal="center"/>
    </xf>
    <xf numFmtId="0" fontId="24" fillId="0" borderId="1" xfId="9" applyFont="1" applyBorder="1" applyAlignment="1">
      <alignment horizontal="left" wrapText="1"/>
    </xf>
    <xf numFmtId="0" fontId="23" fillId="0" borderId="0" xfId="0" applyFont="1" applyAlignment="1">
      <alignment horizontal="center" wrapText="1"/>
    </xf>
    <xf numFmtId="0" fontId="24" fillId="0" borderId="4" xfId="0" applyFont="1" applyBorder="1" applyAlignment="1">
      <alignment horizontal="left" vertical="top" wrapText="1"/>
    </xf>
    <xf numFmtId="14" fontId="24" fillId="0" borderId="4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4" xfId="9" applyFont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/>
    </xf>
    <xf numFmtId="14" fontId="24" fillId="0" borderId="4" xfId="9" applyNumberFormat="1" applyFont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 wrapText="1"/>
    </xf>
    <xf numFmtId="14" fontId="24" fillId="0" borderId="1" xfId="9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4" xfId="9" applyFont="1" applyBorder="1" applyAlignment="1">
      <alignment horizontal="left" vertical="center" wrapText="1"/>
    </xf>
    <xf numFmtId="0" fontId="24" fillId="0" borderId="1" xfId="9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4" fillId="0" borderId="1" xfId="0" applyFont="1" applyBorder="1" applyAlignment="1">
      <alignment vertical="center"/>
    </xf>
    <xf numFmtId="4" fontId="24" fillId="0" borderId="4" xfId="0" applyNumberFormat="1" applyFont="1" applyBorder="1" applyAlignment="1">
      <alignment vertical="center"/>
    </xf>
    <xf numFmtId="4" fontId="24" fillId="0" borderId="4" xfId="0" applyNumberFormat="1" applyFont="1" applyFill="1" applyBorder="1" applyAlignment="1">
      <alignment vertical="center"/>
    </xf>
    <xf numFmtId="2" fontId="24" fillId="0" borderId="4" xfId="0" applyNumberFormat="1" applyFont="1" applyFill="1" applyBorder="1" applyAlignment="1">
      <alignment vertical="center"/>
    </xf>
    <xf numFmtId="2" fontId="24" fillId="0" borderId="1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/>
    </xf>
    <xf numFmtId="4" fontId="23" fillId="0" borderId="4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0" borderId="1" xfId="9" applyFont="1" applyBorder="1" applyAlignment="1">
      <alignment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14" fontId="24" fillId="0" borderId="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19" fillId="0" borderId="0" xfId="0" applyFont="1" applyBorder="1" applyAlignment="1">
      <alignment vertical="top"/>
    </xf>
    <xf numFmtId="3" fontId="20" fillId="0" borderId="0" xfId="5" applyNumberFormat="1" applyFont="1" applyFill="1" applyBorder="1" applyAlignment="1">
      <alignment vertical="top" wrapText="1"/>
    </xf>
    <xf numFmtId="0" fontId="13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3" fontId="20" fillId="0" borderId="0" xfId="2" applyNumberFormat="1" applyFont="1" applyFill="1" applyBorder="1" applyAlignment="1">
      <alignment vertical="top" wrapText="1"/>
    </xf>
    <xf numFmtId="0" fontId="24" fillId="0" borderId="20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46" xfId="0" applyBorder="1" applyAlignment="1">
      <alignment vertical="center"/>
    </xf>
    <xf numFmtId="0" fontId="24" fillId="0" borderId="33" xfId="0" applyFont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24" fillId="0" borderId="33" xfId="0" applyFont="1" applyBorder="1" applyAlignment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2" borderId="56" xfId="0" applyFont="1" applyFill="1" applyBorder="1" applyAlignment="1">
      <alignment horizontal="left"/>
    </xf>
    <xf numFmtId="0" fontId="23" fillId="2" borderId="50" xfId="0" applyFont="1" applyFill="1" applyBorder="1" applyAlignment="1">
      <alignment horizontal="left"/>
    </xf>
    <xf numFmtId="0" fontId="24" fillId="2" borderId="10" xfId="0" applyFont="1" applyFill="1" applyBorder="1" applyAlignment="1">
      <alignment vertical="center" wrapText="1"/>
    </xf>
    <xf numFmtId="0" fontId="24" fillId="2" borderId="32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3" fillId="2" borderId="54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24" fillId="2" borderId="51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20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3" fillId="0" borderId="3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57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4" fillId="0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23" fillId="0" borderId="3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3" xfId="0" applyFont="1" applyBorder="1" applyAlignment="1"/>
    <xf numFmtId="0" fontId="24" fillId="0" borderId="18" xfId="0" applyFont="1" applyBorder="1" applyAlignment="1"/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7" fillId="0" borderId="0" xfId="0" applyFont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0" fillId="0" borderId="23" xfId="0" applyBorder="1" applyAlignment="1"/>
    <xf numFmtId="0" fontId="2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/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3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wrapText="1"/>
    </xf>
    <xf numFmtId="0" fontId="24" fillId="0" borderId="29" xfId="0" applyFont="1" applyFill="1" applyBorder="1" applyAlignment="1">
      <alignment horizontal="center" wrapText="1"/>
    </xf>
    <xf numFmtId="0" fontId="24" fillId="0" borderId="21" xfId="0" applyFont="1" applyFill="1" applyBorder="1" applyAlignment="1">
      <alignment horizontal="center" wrapText="1"/>
    </xf>
    <xf numFmtId="0" fontId="24" fillId="0" borderId="23" xfId="0" applyFont="1" applyFill="1" applyBorder="1" applyAlignment="1">
      <alignment horizontal="center" wrapText="1"/>
    </xf>
    <xf numFmtId="0" fontId="24" fillId="0" borderId="30" xfId="0" applyFont="1" applyFill="1" applyBorder="1" applyAlignment="1">
      <alignment horizontal="center" wrapText="1"/>
    </xf>
    <xf numFmtId="0" fontId="24" fillId="0" borderId="24" xfId="0" applyFont="1" applyFill="1" applyBorder="1" applyAlignment="1">
      <alignment horizontal="center" wrapText="1"/>
    </xf>
    <xf numFmtId="0" fontId="24" fillId="0" borderId="28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0" fontId="24" fillId="0" borderId="27" xfId="0" applyFont="1" applyFill="1" applyBorder="1" applyAlignment="1">
      <alignment horizont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Alignment="1"/>
    <xf numFmtId="0" fontId="2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/>
    <xf numFmtId="0" fontId="24" fillId="0" borderId="0" xfId="0" applyFont="1" applyFill="1" applyBorder="1" applyAlignment="1"/>
    <xf numFmtId="0" fontId="24" fillId="0" borderId="8" xfId="0" applyFont="1" applyFill="1" applyBorder="1" applyAlignment="1"/>
    <xf numFmtId="0" fontId="23" fillId="0" borderId="11" xfId="0" applyFont="1" applyBorder="1" applyAlignment="1">
      <alignment horizontal="center" vertical="center" wrapText="1"/>
    </xf>
    <xf numFmtId="0" fontId="0" fillId="0" borderId="46" xfId="0" applyBorder="1" applyAlignment="1"/>
    <xf numFmtId="0" fontId="0" fillId="0" borderId="55" xfId="0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164" fontId="24" fillId="2" borderId="4" xfId="0" applyNumberFormat="1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 wrapText="1"/>
    </xf>
  </cellXfs>
  <cellStyles count="10">
    <cellStyle name="Normal 2 2" xfId="8"/>
    <cellStyle name="Normálna" xfId="0" builtinId="0"/>
    <cellStyle name="Normálna 2" xfId="7"/>
    <cellStyle name="Normálna 3" xfId="6"/>
    <cellStyle name="Normálne 2" xfId="9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6" sqref="J6"/>
    </sheetView>
  </sheetViews>
  <sheetFormatPr defaultRowHeight="15.75" x14ac:dyDescent="0.25"/>
  <sheetData>
    <row r="1" spans="1:9" ht="120.75" customHeight="1" x14ac:dyDescent="0.25">
      <c r="A1" s="376" t="s">
        <v>203</v>
      </c>
      <c r="B1" s="376"/>
      <c r="C1" s="376"/>
      <c r="D1" s="376"/>
      <c r="E1" s="376"/>
      <c r="F1" s="376"/>
      <c r="G1" s="376"/>
      <c r="H1" s="376"/>
      <c r="I1" s="376"/>
    </row>
    <row r="2" spans="1:9" ht="61.5" customHeight="1" x14ac:dyDescent="0.25">
      <c r="A2" s="376"/>
      <c r="B2" s="376"/>
      <c r="C2" s="376"/>
      <c r="D2" s="376"/>
      <c r="E2" s="376"/>
      <c r="F2" s="376"/>
      <c r="G2" s="376"/>
      <c r="H2" s="376"/>
      <c r="I2" s="376"/>
    </row>
    <row r="3" spans="1:9" ht="61.5" customHeight="1" x14ac:dyDescent="0.25">
      <c r="A3" s="376"/>
      <c r="B3" s="376"/>
      <c r="C3" s="376"/>
      <c r="D3" s="376"/>
      <c r="E3" s="376"/>
      <c r="F3" s="376"/>
      <c r="G3" s="376"/>
      <c r="H3" s="376"/>
      <c r="I3" s="376"/>
    </row>
    <row r="4" spans="1:9" ht="61.5" customHeight="1" x14ac:dyDescent="0.25"/>
    <row r="5" spans="1:9" ht="45.75" x14ac:dyDescent="0.65">
      <c r="A5" s="374" t="s">
        <v>163</v>
      </c>
      <c r="B5" s="374"/>
      <c r="C5" s="374"/>
      <c r="D5" s="374"/>
      <c r="E5" s="374"/>
      <c r="F5" s="374"/>
      <c r="G5" s="374"/>
      <c r="H5" s="374"/>
      <c r="I5" s="374"/>
    </row>
    <row r="6" spans="1:9" ht="61.5" x14ac:dyDescent="0.85">
      <c r="A6" s="375"/>
      <c r="B6" s="375"/>
      <c r="C6" s="375"/>
      <c r="D6" s="375"/>
      <c r="E6" s="375"/>
      <c r="F6" s="375"/>
      <c r="G6" s="375"/>
      <c r="H6" s="375"/>
      <c r="I6" s="375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22" workbookViewId="0">
      <selection activeCell="B37" sqref="B37"/>
    </sheetView>
  </sheetViews>
  <sheetFormatPr defaultRowHeight="15.75" x14ac:dyDescent="0.25"/>
  <cols>
    <col min="1" max="1" width="26" customWidth="1"/>
    <col min="2" max="2" width="11.125" customWidth="1"/>
    <col min="7" max="7" width="8.5" customWidth="1"/>
    <col min="8" max="8" width="7.625" customWidth="1"/>
    <col min="9" max="9" width="8.25" customWidth="1"/>
  </cols>
  <sheetData>
    <row r="1" spans="1:10" s="174" customFormat="1" ht="67.5" customHeight="1" x14ac:dyDescent="0.2">
      <c r="A1" s="445" t="s">
        <v>217</v>
      </c>
      <c r="B1" s="445"/>
      <c r="C1" s="445"/>
      <c r="D1" s="445"/>
      <c r="E1" s="445"/>
      <c r="F1" s="445"/>
      <c r="G1" s="445"/>
      <c r="H1" s="445"/>
      <c r="I1" s="445"/>
      <c r="J1" s="173"/>
    </row>
    <row r="2" spans="1:10" s="4" customFormat="1" ht="16.5" thickBot="1" x14ac:dyDescent="0.3">
      <c r="A2" s="175"/>
      <c r="B2" s="176"/>
      <c r="C2" s="471" t="s">
        <v>108</v>
      </c>
      <c r="D2" s="472"/>
      <c r="E2" s="472"/>
      <c r="F2" s="472"/>
      <c r="G2" s="472"/>
      <c r="H2" s="472"/>
      <c r="I2" s="473"/>
      <c r="J2" s="21"/>
    </row>
    <row r="3" spans="1:10" s="4" customFormat="1" ht="55.5" customHeight="1" thickBot="1" x14ac:dyDescent="0.3">
      <c r="A3" s="177" t="s">
        <v>46</v>
      </c>
      <c r="B3" s="146" t="s">
        <v>107</v>
      </c>
      <c r="C3" s="146" t="s">
        <v>47</v>
      </c>
      <c r="D3" s="146" t="s">
        <v>216</v>
      </c>
      <c r="E3" s="146" t="s">
        <v>211</v>
      </c>
      <c r="F3" s="146" t="s">
        <v>162</v>
      </c>
      <c r="G3" s="146" t="s">
        <v>148</v>
      </c>
      <c r="H3" s="146" t="s">
        <v>109</v>
      </c>
      <c r="I3" s="146" t="s">
        <v>147</v>
      </c>
      <c r="J3" s="22"/>
    </row>
    <row r="4" spans="1:10" s="4" customFormat="1" x14ac:dyDescent="0.25">
      <c r="A4" s="178" t="s">
        <v>593</v>
      </c>
      <c r="B4" s="117"/>
      <c r="C4" s="179"/>
      <c r="D4" s="180" t="s">
        <v>594</v>
      </c>
      <c r="E4" s="180" t="s">
        <v>594</v>
      </c>
      <c r="F4" s="180" t="s">
        <v>594</v>
      </c>
      <c r="G4" s="180" t="s">
        <v>594</v>
      </c>
      <c r="H4" s="180" t="s">
        <v>594</v>
      </c>
      <c r="I4" s="180" t="s">
        <v>594</v>
      </c>
    </row>
    <row r="5" spans="1:10" s="4" customFormat="1" x14ac:dyDescent="0.25">
      <c r="A5" s="57" t="s">
        <v>20</v>
      </c>
      <c r="B5" s="119">
        <v>1</v>
      </c>
      <c r="C5" s="57" t="s">
        <v>595</v>
      </c>
      <c r="D5" s="181">
        <f>SUM(1+9)/2</f>
        <v>5</v>
      </c>
      <c r="E5" s="181">
        <f>SUM(0+26)/2</f>
        <v>13</v>
      </c>
      <c r="F5" s="181">
        <f>SUM(56+38)/2</f>
        <v>47</v>
      </c>
      <c r="G5" s="181">
        <f>SUM(58+43)/2</f>
        <v>50.5</v>
      </c>
      <c r="H5" s="181">
        <f>SUM(57+50)/2</f>
        <v>53.5</v>
      </c>
      <c r="I5" s="181">
        <f>SUM(55+71)/2</f>
        <v>63</v>
      </c>
    </row>
    <row r="6" spans="1:10" s="4" customFormat="1" x14ac:dyDescent="0.25">
      <c r="A6" s="57" t="s">
        <v>20</v>
      </c>
      <c r="B6" s="119">
        <v>1</v>
      </c>
      <c r="C6" s="57" t="s">
        <v>596</v>
      </c>
      <c r="D6" s="181">
        <f>SUM(0+14)/2</f>
        <v>7</v>
      </c>
      <c r="E6" s="181">
        <f>SUM(0+100/2)</f>
        <v>50</v>
      </c>
      <c r="F6" s="181">
        <f>SUM(37+100/2)</f>
        <v>87</v>
      </c>
      <c r="G6" s="181">
        <f>SUM(25+0)/2</f>
        <v>12.5</v>
      </c>
      <c r="H6" s="181">
        <f>SUM(0+74)/2</f>
        <v>37</v>
      </c>
      <c r="I6" s="181">
        <f>SUM(0+44/2)</f>
        <v>22</v>
      </c>
    </row>
    <row r="7" spans="1:10" s="4" customFormat="1" x14ac:dyDescent="0.25">
      <c r="A7" s="57" t="s">
        <v>21</v>
      </c>
      <c r="B7" s="119">
        <v>1</v>
      </c>
      <c r="C7" s="57" t="s">
        <v>595</v>
      </c>
      <c r="D7" s="181">
        <f>SUM(0+0+0/2)</f>
        <v>0</v>
      </c>
      <c r="E7" s="181">
        <f>SUM(78+0+0)/3</f>
        <v>26</v>
      </c>
      <c r="F7" s="181">
        <f>SUM(84+55)/2</f>
        <v>69.5</v>
      </c>
      <c r="G7" s="181">
        <f>SUM(68+73)/2</f>
        <v>70.5</v>
      </c>
      <c r="H7" s="181">
        <f>SUM(84+74)/2</f>
        <v>79</v>
      </c>
      <c r="I7" s="181">
        <f>SUM(78+66)/2</f>
        <v>72</v>
      </c>
    </row>
    <row r="8" spans="1:10" s="4" customFormat="1" x14ac:dyDescent="0.25">
      <c r="A8" s="57" t="s">
        <v>21</v>
      </c>
      <c r="B8" s="119">
        <v>1</v>
      </c>
      <c r="C8" s="57" t="s">
        <v>596</v>
      </c>
      <c r="D8" s="181">
        <f>SUM(0+0+0/2)</f>
        <v>0</v>
      </c>
      <c r="E8" s="181">
        <f>SUM(50+0+0)/3</f>
        <v>16.666666666666668</v>
      </c>
      <c r="F8" s="181">
        <f>SUM(54+44)/2</f>
        <v>49</v>
      </c>
      <c r="G8" s="181">
        <f>SUM(71+50+0)/3</f>
        <v>40.333333333333336</v>
      </c>
      <c r="H8" s="181">
        <f>SUM(0+68)/2</f>
        <v>34</v>
      </c>
      <c r="I8" s="181">
        <f>SUM(0+64+100)/2</f>
        <v>82</v>
      </c>
    </row>
    <row r="9" spans="1:10" s="4" customFormat="1" x14ac:dyDescent="0.25">
      <c r="A9" s="57" t="s">
        <v>22</v>
      </c>
      <c r="B9" s="119">
        <v>1</v>
      </c>
      <c r="C9" s="57" t="s">
        <v>595</v>
      </c>
      <c r="D9" s="181">
        <v>0</v>
      </c>
      <c r="E9" s="181">
        <v>0</v>
      </c>
      <c r="F9" s="181">
        <v>56.6</v>
      </c>
      <c r="G9" s="181">
        <v>75.400000000000006</v>
      </c>
      <c r="H9" s="181">
        <v>84.2</v>
      </c>
      <c r="I9" s="181">
        <v>87.1</v>
      </c>
    </row>
    <row r="10" spans="1:10" s="4" customFormat="1" x14ac:dyDescent="0.25">
      <c r="A10" s="57" t="s">
        <v>22</v>
      </c>
      <c r="B10" s="119">
        <v>1</v>
      </c>
      <c r="C10" s="57" t="s">
        <v>596</v>
      </c>
      <c r="D10" s="181">
        <v>0</v>
      </c>
      <c r="E10" s="181">
        <v>0</v>
      </c>
      <c r="F10" s="181">
        <v>10.3</v>
      </c>
      <c r="G10" s="181">
        <v>21.3</v>
      </c>
      <c r="H10" s="181">
        <v>23</v>
      </c>
      <c r="I10" s="181">
        <v>39.799999999999997</v>
      </c>
    </row>
    <row r="11" spans="1:10" s="4" customFormat="1" ht="26.25" x14ac:dyDescent="0.25">
      <c r="A11" s="182" t="s">
        <v>19</v>
      </c>
      <c r="B11" s="119">
        <v>1</v>
      </c>
      <c r="C11" s="57" t="s">
        <v>595</v>
      </c>
      <c r="D11" s="181">
        <v>1</v>
      </c>
      <c r="E11" s="181">
        <v>3</v>
      </c>
      <c r="F11" s="181">
        <v>40</v>
      </c>
      <c r="G11" s="181">
        <v>47</v>
      </c>
      <c r="H11" s="181">
        <v>68</v>
      </c>
      <c r="I11" s="181">
        <v>40</v>
      </c>
    </row>
    <row r="12" spans="1:10" s="4" customFormat="1" ht="26.25" x14ac:dyDescent="0.25">
      <c r="A12" s="182" t="s">
        <v>19</v>
      </c>
      <c r="B12" s="119">
        <v>1</v>
      </c>
      <c r="C12" s="57" t="s">
        <v>596</v>
      </c>
      <c r="D12" s="181">
        <v>6</v>
      </c>
      <c r="E12" s="181">
        <v>9</v>
      </c>
      <c r="F12" s="181">
        <v>46</v>
      </c>
      <c r="G12" s="181">
        <v>57</v>
      </c>
      <c r="H12" s="181">
        <v>70</v>
      </c>
      <c r="I12" s="181">
        <v>51</v>
      </c>
    </row>
    <row r="13" spans="1:10" s="4" customFormat="1" x14ac:dyDescent="0.25">
      <c r="A13" s="57" t="s">
        <v>24</v>
      </c>
      <c r="B13" s="119">
        <v>1</v>
      </c>
      <c r="C13" s="57" t="s">
        <v>595</v>
      </c>
      <c r="D13" s="181">
        <v>0</v>
      </c>
      <c r="E13" s="181">
        <v>0</v>
      </c>
      <c r="F13" s="181">
        <v>77</v>
      </c>
      <c r="G13" s="181">
        <v>74</v>
      </c>
      <c r="H13" s="181">
        <v>78</v>
      </c>
      <c r="I13" s="181">
        <v>65</v>
      </c>
    </row>
    <row r="14" spans="1:10" s="4" customFormat="1" x14ac:dyDescent="0.25">
      <c r="A14" s="182" t="s">
        <v>24</v>
      </c>
      <c r="B14" s="119">
        <v>1</v>
      </c>
      <c r="C14" s="57" t="s">
        <v>596</v>
      </c>
      <c r="D14" s="181">
        <v>0</v>
      </c>
      <c r="E14" s="181">
        <v>0</v>
      </c>
      <c r="F14" s="181">
        <v>85</v>
      </c>
      <c r="G14" s="181">
        <v>97</v>
      </c>
      <c r="H14" s="181">
        <v>85</v>
      </c>
      <c r="I14" s="181">
        <v>95</v>
      </c>
    </row>
    <row r="15" spans="1:10" s="4" customFormat="1" x14ac:dyDescent="0.25">
      <c r="A15" s="183" t="s">
        <v>28</v>
      </c>
      <c r="B15" s="119"/>
      <c r="C15" s="57"/>
      <c r="D15" s="181"/>
      <c r="E15" s="181"/>
      <c r="F15" s="181"/>
      <c r="G15" s="181"/>
      <c r="H15" s="181"/>
      <c r="I15" s="181"/>
    </row>
    <row r="16" spans="1:10" s="4" customFormat="1" x14ac:dyDescent="0.25">
      <c r="A16" s="57" t="s">
        <v>20</v>
      </c>
      <c r="B16" s="119">
        <v>2</v>
      </c>
      <c r="C16" s="57" t="s">
        <v>595</v>
      </c>
      <c r="D16" s="184">
        <f>SUM(0+0)</f>
        <v>0</v>
      </c>
      <c r="E16" s="185">
        <f>SUM(71+84)/2</f>
        <v>77.5</v>
      </c>
      <c r="F16" s="185">
        <f>SUM(95+92)/2</f>
        <v>93.5</v>
      </c>
      <c r="G16" s="185">
        <f>SUM(86+93)/2</f>
        <v>89.5</v>
      </c>
      <c r="H16" s="185">
        <f>SUM(92+93)/2</f>
        <v>92.5</v>
      </c>
      <c r="I16" s="185">
        <f>SUM(78+85)/2</f>
        <v>81.5</v>
      </c>
    </row>
    <row r="17" spans="1:9" s="4" customFormat="1" x14ac:dyDescent="0.25">
      <c r="A17" s="57" t="s">
        <v>20</v>
      </c>
      <c r="B17" s="119">
        <v>2</v>
      </c>
      <c r="C17" s="57" t="s">
        <v>596</v>
      </c>
      <c r="D17" s="181">
        <f>SUM(62+0)/2</f>
        <v>31</v>
      </c>
      <c r="E17" s="181">
        <f>SUM(80+0)/2</f>
        <v>40</v>
      </c>
      <c r="F17" s="181">
        <f>SUM(50+0)/2</f>
        <v>25</v>
      </c>
      <c r="G17" s="181">
        <f>SUM(80+0)/2</f>
        <v>40</v>
      </c>
      <c r="H17" s="181">
        <f>SUM(88+0)/2</f>
        <v>44</v>
      </c>
      <c r="I17" s="181">
        <f>SUM(83+0)/2</f>
        <v>41.5</v>
      </c>
    </row>
    <row r="18" spans="1:9" x14ac:dyDescent="0.25">
      <c r="A18" s="57" t="s">
        <v>21</v>
      </c>
      <c r="B18" s="119">
        <v>2</v>
      </c>
      <c r="C18" s="57" t="s">
        <v>595</v>
      </c>
      <c r="D18" s="181">
        <f>SUM(0+0)/2</f>
        <v>0</v>
      </c>
      <c r="E18" s="181">
        <f>SUM(83+91)/2</f>
        <v>87</v>
      </c>
      <c r="F18" s="181">
        <f>SUM(94+92)/2</f>
        <v>93</v>
      </c>
      <c r="G18" s="181">
        <f>SUM(94+97)/2</f>
        <v>95.5</v>
      </c>
      <c r="H18" s="181">
        <f>SUM(98+100)/2</f>
        <v>99</v>
      </c>
      <c r="I18" s="181">
        <f>SUM(71+96)/2</f>
        <v>83.5</v>
      </c>
    </row>
    <row r="19" spans="1:9" x14ac:dyDescent="0.25">
      <c r="A19" s="57" t="s">
        <v>21</v>
      </c>
      <c r="B19" s="119">
        <v>2</v>
      </c>
      <c r="C19" s="57" t="s">
        <v>596</v>
      </c>
      <c r="D19" s="181">
        <v>0</v>
      </c>
      <c r="E19" s="181">
        <v>96</v>
      </c>
      <c r="F19" s="181">
        <v>88</v>
      </c>
      <c r="G19" s="181">
        <v>84</v>
      </c>
      <c r="H19" s="181">
        <v>88</v>
      </c>
      <c r="I19" s="181">
        <v>89</v>
      </c>
    </row>
    <row r="20" spans="1:9" x14ac:dyDescent="0.25">
      <c r="A20" s="57" t="s">
        <v>22</v>
      </c>
      <c r="B20" s="119">
        <v>2</v>
      </c>
      <c r="C20" s="57" t="s">
        <v>595</v>
      </c>
      <c r="D20" s="181">
        <v>0</v>
      </c>
      <c r="E20" s="181">
        <v>84</v>
      </c>
      <c r="F20" s="181">
        <v>93</v>
      </c>
      <c r="G20" s="181">
        <v>93</v>
      </c>
      <c r="H20" s="181">
        <v>93</v>
      </c>
      <c r="I20" s="181">
        <v>97</v>
      </c>
    </row>
    <row r="21" spans="1:9" x14ac:dyDescent="0.25">
      <c r="A21" s="57" t="s">
        <v>22</v>
      </c>
      <c r="B21" s="119">
        <v>2</v>
      </c>
      <c r="C21" s="57" t="s">
        <v>596</v>
      </c>
      <c r="D21" s="181">
        <v>0</v>
      </c>
      <c r="E21" s="181">
        <v>72</v>
      </c>
      <c r="F21" s="181">
        <v>76</v>
      </c>
      <c r="G21" s="181">
        <v>77</v>
      </c>
      <c r="H21" s="181">
        <v>72</v>
      </c>
      <c r="I21" s="181">
        <v>71</v>
      </c>
    </row>
    <row r="22" spans="1:9" ht="26.25" x14ac:dyDescent="0.25">
      <c r="A22" s="182" t="s">
        <v>19</v>
      </c>
      <c r="B22" s="119">
        <v>2</v>
      </c>
      <c r="C22" s="57" t="s">
        <v>595</v>
      </c>
      <c r="D22" s="181">
        <v>0</v>
      </c>
      <c r="E22" s="181">
        <v>90</v>
      </c>
      <c r="F22" s="181">
        <v>88</v>
      </c>
      <c r="G22" s="181">
        <v>86</v>
      </c>
      <c r="H22" s="181">
        <v>93</v>
      </c>
      <c r="I22" s="181">
        <v>91</v>
      </c>
    </row>
    <row r="23" spans="1:9" ht="26.25" x14ac:dyDescent="0.25">
      <c r="A23" s="182" t="s">
        <v>19</v>
      </c>
      <c r="B23" s="119">
        <v>2</v>
      </c>
      <c r="C23" s="57" t="s">
        <v>596</v>
      </c>
      <c r="D23" s="181">
        <v>1</v>
      </c>
      <c r="E23" s="181">
        <v>76</v>
      </c>
      <c r="F23" s="181">
        <v>81</v>
      </c>
      <c r="G23" s="181">
        <v>84</v>
      </c>
      <c r="H23" s="181">
        <v>89</v>
      </c>
      <c r="I23" s="181">
        <v>85</v>
      </c>
    </row>
    <row r="24" spans="1:9" x14ac:dyDescent="0.25">
      <c r="A24" s="57" t="s">
        <v>24</v>
      </c>
      <c r="B24" s="119">
        <v>2</v>
      </c>
      <c r="C24" s="57" t="s">
        <v>595</v>
      </c>
      <c r="D24" s="181">
        <v>0</v>
      </c>
      <c r="E24" s="181">
        <v>95</v>
      </c>
      <c r="F24" s="181">
        <v>94</v>
      </c>
      <c r="G24" s="181">
        <v>96</v>
      </c>
      <c r="H24" s="181">
        <v>84</v>
      </c>
      <c r="I24" s="181">
        <v>87</v>
      </c>
    </row>
    <row r="25" spans="1:9" x14ac:dyDescent="0.25">
      <c r="A25" s="57" t="s">
        <v>24</v>
      </c>
      <c r="B25" s="119">
        <v>2</v>
      </c>
      <c r="C25" s="57" t="s">
        <v>596</v>
      </c>
      <c r="D25" s="181">
        <v>0</v>
      </c>
      <c r="E25" s="181">
        <v>93</v>
      </c>
      <c r="F25" s="181">
        <v>96</v>
      </c>
      <c r="G25" s="181">
        <v>81</v>
      </c>
      <c r="H25" s="181">
        <v>88</v>
      </c>
      <c r="I25" s="181">
        <v>85</v>
      </c>
    </row>
    <row r="26" spans="1:9" x14ac:dyDescent="0.25">
      <c r="A26" s="183" t="s">
        <v>597</v>
      </c>
      <c r="B26" s="119"/>
      <c r="C26" s="57"/>
      <c r="D26" s="181"/>
      <c r="E26" s="181"/>
      <c r="F26" s="181"/>
      <c r="G26" s="181"/>
      <c r="H26" s="181"/>
      <c r="I26" s="181"/>
    </row>
    <row r="27" spans="1:9" x14ac:dyDescent="0.25">
      <c r="A27" s="57" t="s">
        <v>20</v>
      </c>
      <c r="B27" s="119" t="s">
        <v>3</v>
      </c>
      <c r="C27" s="57" t="s">
        <v>595</v>
      </c>
      <c r="D27" s="181" t="s">
        <v>598</v>
      </c>
      <c r="E27" s="181" t="s">
        <v>598</v>
      </c>
      <c r="F27" s="181" t="s">
        <v>598</v>
      </c>
      <c r="G27" s="181" t="s">
        <v>598</v>
      </c>
      <c r="H27" s="181" t="s">
        <v>598</v>
      </c>
      <c r="I27" s="181" t="s">
        <v>598</v>
      </c>
    </row>
    <row r="28" spans="1:9" x14ac:dyDescent="0.25">
      <c r="A28" s="183" t="s">
        <v>29</v>
      </c>
      <c r="B28" s="119"/>
      <c r="C28" s="57"/>
      <c r="D28" s="181"/>
      <c r="E28" s="181"/>
      <c r="F28" s="181"/>
      <c r="G28" s="181"/>
      <c r="H28" s="181"/>
      <c r="I28" s="181"/>
    </row>
    <row r="29" spans="1:9" x14ac:dyDescent="0.25">
      <c r="A29" s="57" t="s">
        <v>20</v>
      </c>
      <c r="B29" s="119">
        <v>3</v>
      </c>
      <c r="C29" s="57" t="s">
        <v>595</v>
      </c>
      <c r="D29" s="181">
        <f>SUM(0+0)/2</f>
        <v>0</v>
      </c>
      <c r="E29" s="181">
        <f>SUM(50+0)/2</f>
        <v>25</v>
      </c>
      <c r="F29" s="181">
        <f>SUM(0+80)/2</f>
        <v>40</v>
      </c>
      <c r="G29" s="181">
        <f>SUM(75+100)/2</f>
        <v>87.5</v>
      </c>
      <c r="H29" s="181">
        <f>SUM(33+62)/2</f>
        <v>47.5</v>
      </c>
      <c r="I29" s="181">
        <f>SUM(40+76)/2</f>
        <v>58</v>
      </c>
    </row>
    <row r="30" spans="1:9" x14ac:dyDescent="0.25">
      <c r="A30" s="57" t="s">
        <v>20</v>
      </c>
      <c r="B30" s="119">
        <v>3</v>
      </c>
      <c r="C30" s="57" t="s">
        <v>596</v>
      </c>
      <c r="D30" s="181">
        <f>SUM(0+0)/2</f>
        <v>0</v>
      </c>
      <c r="E30" s="181">
        <f>SUM(0+0)/2</f>
        <v>0</v>
      </c>
      <c r="F30" s="181">
        <f>SUM(0)</f>
        <v>0</v>
      </c>
      <c r="G30" s="181">
        <f>SUM(0+0)/2</f>
        <v>0</v>
      </c>
      <c r="H30" s="181">
        <f>SUM(0+12.5)/2</f>
        <v>6.25</v>
      </c>
      <c r="I30" s="181">
        <f>SUM(0+33)/2</f>
        <v>16.5</v>
      </c>
    </row>
    <row r="31" spans="1:9" x14ac:dyDescent="0.25">
      <c r="A31" s="57" t="s">
        <v>21</v>
      </c>
      <c r="B31" s="119">
        <v>3</v>
      </c>
      <c r="C31" s="57" t="s">
        <v>595</v>
      </c>
      <c r="D31" s="181">
        <f>SUM(0+0)/2</f>
        <v>0</v>
      </c>
      <c r="E31" s="181">
        <v>0</v>
      </c>
      <c r="F31" s="181">
        <f>SUM(100+50)/2</f>
        <v>75</v>
      </c>
      <c r="G31" s="181">
        <f>SUM(50+100)/2</f>
        <v>75</v>
      </c>
      <c r="H31" s="181">
        <f>SUM(100+50)/2</f>
        <v>75</v>
      </c>
      <c r="I31" s="181">
        <f>SUM(67+64)/2</f>
        <v>65.5</v>
      </c>
    </row>
    <row r="32" spans="1:9" x14ac:dyDescent="0.25">
      <c r="A32" s="57" t="s">
        <v>21</v>
      </c>
      <c r="B32" s="119">
        <v>3</v>
      </c>
      <c r="C32" s="57" t="s">
        <v>596</v>
      </c>
      <c r="D32" s="181">
        <v>0</v>
      </c>
      <c r="E32" s="181">
        <v>0</v>
      </c>
      <c r="F32" s="181">
        <f>SUM(0+39)/2</f>
        <v>19.5</v>
      </c>
      <c r="G32" s="181">
        <v>0</v>
      </c>
      <c r="H32" s="181">
        <f>SUM(0+29)/2</f>
        <v>14.5</v>
      </c>
      <c r="I32" s="181">
        <f>SUM(60+50)/2</f>
        <v>55</v>
      </c>
    </row>
    <row r="33" spans="1:9" x14ac:dyDescent="0.25">
      <c r="A33" s="57" t="s">
        <v>22</v>
      </c>
      <c r="B33" s="119">
        <v>3</v>
      </c>
      <c r="C33" s="57" t="s">
        <v>595</v>
      </c>
      <c r="D33" s="181">
        <v>0</v>
      </c>
      <c r="E33" s="181">
        <v>0</v>
      </c>
      <c r="F33" s="181">
        <v>50</v>
      </c>
      <c r="G33" s="181">
        <v>86</v>
      </c>
      <c r="H33" s="181">
        <v>100</v>
      </c>
      <c r="I33" s="181">
        <v>78</v>
      </c>
    </row>
    <row r="34" spans="1:9" x14ac:dyDescent="0.25">
      <c r="A34" s="57" t="s">
        <v>22</v>
      </c>
      <c r="B34" s="119">
        <v>3</v>
      </c>
      <c r="C34" s="57" t="s">
        <v>596</v>
      </c>
      <c r="D34" s="181">
        <v>0</v>
      </c>
      <c r="E34" s="181">
        <v>21</v>
      </c>
      <c r="F34" s="181">
        <v>25</v>
      </c>
      <c r="G34" s="181">
        <v>43</v>
      </c>
      <c r="H34" s="181">
        <v>52</v>
      </c>
      <c r="I34" s="181">
        <v>28</v>
      </c>
    </row>
    <row r="35" spans="1:9" ht="26.25" x14ac:dyDescent="0.25">
      <c r="A35" s="182" t="s">
        <v>19</v>
      </c>
      <c r="B35" s="119">
        <v>3</v>
      </c>
      <c r="C35" s="57" t="s">
        <v>595</v>
      </c>
      <c r="D35" s="181">
        <v>0</v>
      </c>
      <c r="E35" s="181">
        <v>0</v>
      </c>
      <c r="F35" s="181">
        <v>73</v>
      </c>
      <c r="G35" s="181">
        <v>57</v>
      </c>
      <c r="H35" s="181">
        <v>90</v>
      </c>
      <c r="I35" s="181">
        <v>81</v>
      </c>
    </row>
    <row r="36" spans="1:9" ht="26.25" x14ac:dyDescent="0.25">
      <c r="A36" s="182" t="s">
        <v>19</v>
      </c>
      <c r="B36" s="119">
        <v>3</v>
      </c>
      <c r="C36" s="57" t="s">
        <v>596</v>
      </c>
      <c r="D36" s="181">
        <v>0</v>
      </c>
      <c r="E36" s="181">
        <v>0</v>
      </c>
      <c r="F36" s="181">
        <v>0</v>
      </c>
      <c r="G36" s="181">
        <v>0</v>
      </c>
      <c r="H36" s="181">
        <v>100</v>
      </c>
      <c r="I36" s="181">
        <v>33</v>
      </c>
    </row>
    <row r="37" spans="1:9" x14ac:dyDescent="0.25">
      <c r="A37" s="57" t="s">
        <v>24</v>
      </c>
      <c r="B37" s="119">
        <v>3</v>
      </c>
      <c r="C37" s="57" t="s">
        <v>595</v>
      </c>
      <c r="D37" s="181">
        <v>0</v>
      </c>
      <c r="E37" s="181">
        <v>0</v>
      </c>
      <c r="F37" s="181">
        <v>69</v>
      </c>
      <c r="G37" s="181">
        <v>100</v>
      </c>
      <c r="H37" s="181">
        <v>64</v>
      </c>
      <c r="I37" s="181">
        <v>83</v>
      </c>
    </row>
    <row r="38" spans="1:9" x14ac:dyDescent="0.25">
      <c r="A38" s="57" t="s">
        <v>24</v>
      </c>
      <c r="B38" s="119">
        <v>3</v>
      </c>
      <c r="C38" s="57" t="s">
        <v>596</v>
      </c>
      <c r="D38" s="181">
        <v>0</v>
      </c>
      <c r="E38" s="181">
        <v>0</v>
      </c>
      <c r="F38" s="181">
        <v>59</v>
      </c>
      <c r="G38" s="181">
        <v>11</v>
      </c>
      <c r="H38" s="181">
        <v>15</v>
      </c>
      <c r="I38" s="181">
        <v>59</v>
      </c>
    </row>
    <row r="39" spans="1:9" x14ac:dyDescent="0.25">
      <c r="A39" s="87"/>
      <c r="B39" s="87"/>
      <c r="C39" s="87"/>
      <c r="D39" s="87"/>
      <c r="E39" s="87"/>
      <c r="F39" s="87"/>
      <c r="G39" s="87"/>
      <c r="H39" s="87"/>
      <c r="I39" s="87"/>
    </row>
    <row r="40" spans="1:9" x14ac:dyDescent="0.25">
      <c r="A40" s="87" t="s">
        <v>599</v>
      </c>
      <c r="B40" s="87"/>
      <c r="C40" s="87"/>
      <c r="D40" s="87"/>
      <c r="E40" s="87"/>
      <c r="F40" s="87"/>
      <c r="G40" s="87"/>
      <c r="H40" s="87"/>
      <c r="I40" s="87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0" zoomScaleNormal="100" zoomScaleSheetLayoutView="100" workbookViewId="0">
      <selection activeCell="K25" sqref="K25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2" customFormat="1" ht="37.5" customHeight="1" x14ac:dyDescent="0.25">
      <c r="A1" s="474" t="s">
        <v>218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1" s="2" customFormat="1" ht="16.5" thickBot="1" x14ac:dyDescent="0.3">
      <c r="A2" s="186" t="s">
        <v>219</v>
      </c>
      <c r="B2" s="186"/>
      <c r="C2" s="187"/>
      <c r="D2" s="187"/>
      <c r="E2" s="187"/>
      <c r="F2" s="187"/>
      <c r="G2" s="187"/>
      <c r="H2" s="187"/>
      <c r="I2" s="187"/>
      <c r="J2" s="187"/>
      <c r="K2" s="187"/>
    </row>
    <row r="3" spans="1:11" s="2" customFormat="1" ht="15.75" customHeight="1" x14ac:dyDescent="0.25">
      <c r="A3" s="482" t="s">
        <v>30</v>
      </c>
      <c r="B3" s="425" t="s">
        <v>52</v>
      </c>
      <c r="C3" s="402" t="s">
        <v>213</v>
      </c>
      <c r="D3" s="402" t="s">
        <v>53</v>
      </c>
      <c r="E3" s="402"/>
      <c r="F3" s="481"/>
      <c r="G3" s="425" t="s">
        <v>54</v>
      </c>
      <c r="H3" s="402" t="s">
        <v>213</v>
      </c>
      <c r="I3" s="402" t="s">
        <v>55</v>
      </c>
      <c r="J3" s="402"/>
      <c r="K3" s="481"/>
    </row>
    <row r="4" spans="1:11" s="2" customFormat="1" ht="26.25" thickBot="1" x14ac:dyDescent="0.3">
      <c r="A4" s="483"/>
      <c r="B4" s="426"/>
      <c r="C4" s="403"/>
      <c r="D4" s="162" t="s">
        <v>14</v>
      </c>
      <c r="E4" s="162" t="s">
        <v>15</v>
      </c>
      <c r="F4" s="188" t="s">
        <v>16</v>
      </c>
      <c r="G4" s="426"/>
      <c r="H4" s="403"/>
      <c r="I4" s="162" t="s">
        <v>14</v>
      </c>
      <c r="J4" s="162" t="s">
        <v>15</v>
      </c>
      <c r="K4" s="188" t="s">
        <v>16</v>
      </c>
    </row>
    <row r="5" spans="1:11" s="2" customFormat="1" x14ac:dyDescent="0.25">
      <c r="A5" s="189" t="s">
        <v>249</v>
      </c>
      <c r="B5" s="193">
        <v>13</v>
      </c>
      <c r="C5" s="193">
        <v>9</v>
      </c>
      <c r="D5" s="193">
        <v>58.5</v>
      </c>
      <c r="E5" s="194">
        <v>0</v>
      </c>
      <c r="F5" s="194">
        <v>2</v>
      </c>
      <c r="G5" s="193">
        <v>3</v>
      </c>
      <c r="H5" s="193">
        <v>1</v>
      </c>
      <c r="I5" s="195">
        <v>10</v>
      </c>
      <c r="J5" s="194">
        <v>0</v>
      </c>
      <c r="K5" s="194">
        <v>0</v>
      </c>
    </row>
    <row r="6" spans="1:11" s="2" customFormat="1" x14ac:dyDescent="0.25">
      <c r="A6" s="189" t="s">
        <v>251</v>
      </c>
      <c r="B6" s="193">
        <v>12</v>
      </c>
      <c r="C6" s="193">
        <v>11</v>
      </c>
      <c r="D6" s="193">
        <v>62</v>
      </c>
      <c r="E6" s="194">
        <v>0</v>
      </c>
      <c r="F6" s="194">
        <v>0</v>
      </c>
      <c r="G6" s="193">
        <v>16</v>
      </c>
      <c r="H6" s="193">
        <v>9</v>
      </c>
      <c r="I6" s="195">
        <v>60</v>
      </c>
      <c r="J6" s="194">
        <v>0</v>
      </c>
      <c r="K6" s="194">
        <v>2</v>
      </c>
    </row>
    <row r="7" spans="1:11" s="2" customFormat="1" x14ac:dyDescent="0.25">
      <c r="A7" s="189" t="s">
        <v>582</v>
      </c>
      <c r="B7" s="193">
        <v>12</v>
      </c>
      <c r="C7" s="193">
        <v>11</v>
      </c>
      <c r="D7" s="193">
        <v>57</v>
      </c>
      <c r="E7" s="194">
        <v>0</v>
      </c>
      <c r="F7" s="194">
        <v>0.95</v>
      </c>
      <c r="G7" s="193">
        <v>9</v>
      </c>
      <c r="H7" s="193">
        <v>5</v>
      </c>
      <c r="I7" s="195">
        <v>10</v>
      </c>
      <c r="J7" s="194">
        <v>0</v>
      </c>
      <c r="K7" s="194">
        <v>2.4</v>
      </c>
    </row>
    <row r="8" spans="1:11" x14ac:dyDescent="0.25">
      <c r="A8" s="57" t="s">
        <v>583</v>
      </c>
      <c r="B8" s="119">
        <v>3</v>
      </c>
      <c r="C8" s="119">
        <v>1</v>
      </c>
      <c r="D8" s="119">
        <v>20</v>
      </c>
      <c r="E8" s="196">
        <v>0</v>
      </c>
      <c r="F8" s="196">
        <v>0</v>
      </c>
      <c r="G8" s="119">
        <v>0</v>
      </c>
      <c r="H8" s="119">
        <v>0</v>
      </c>
      <c r="I8" s="197">
        <v>13</v>
      </c>
      <c r="J8" s="196">
        <v>0</v>
      </c>
      <c r="K8" s="196">
        <v>0</v>
      </c>
    </row>
    <row r="9" spans="1:11" ht="16.5" thickBot="1" x14ac:dyDescent="0.3">
      <c r="A9" s="57" t="s">
        <v>260</v>
      </c>
      <c r="B9" s="119">
        <v>25</v>
      </c>
      <c r="C9" s="119">
        <v>14</v>
      </c>
      <c r="D9" s="119">
        <v>125</v>
      </c>
      <c r="E9" s="196">
        <v>0</v>
      </c>
      <c r="F9" s="196">
        <v>0</v>
      </c>
      <c r="G9" s="119">
        <v>2</v>
      </c>
      <c r="H9" s="119">
        <v>0</v>
      </c>
      <c r="I9" s="197">
        <v>8</v>
      </c>
      <c r="J9" s="196">
        <v>0</v>
      </c>
      <c r="K9" s="196">
        <v>0</v>
      </c>
    </row>
    <row r="10" spans="1:11" ht="16.5" thickBot="1" x14ac:dyDescent="0.3">
      <c r="A10" s="190" t="s">
        <v>34</v>
      </c>
      <c r="B10" s="198">
        <f t="shared" ref="B10:K10" si="0">SUM(B5:B9)</f>
        <v>65</v>
      </c>
      <c r="C10" s="199">
        <f t="shared" si="0"/>
        <v>46</v>
      </c>
      <c r="D10" s="199">
        <f t="shared" si="0"/>
        <v>322.5</v>
      </c>
      <c r="E10" s="199">
        <f t="shared" si="0"/>
        <v>0</v>
      </c>
      <c r="F10" s="200">
        <f t="shared" si="0"/>
        <v>2.95</v>
      </c>
      <c r="G10" s="198">
        <f t="shared" si="0"/>
        <v>30</v>
      </c>
      <c r="H10" s="199">
        <f t="shared" si="0"/>
        <v>15</v>
      </c>
      <c r="I10" s="199">
        <f t="shared" si="0"/>
        <v>101</v>
      </c>
      <c r="J10" s="199">
        <f t="shared" si="0"/>
        <v>0</v>
      </c>
      <c r="K10" s="200">
        <f t="shared" si="0"/>
        <v>4.4000000000000004</v>
      </c>
    </row>
    <row r="11" spans="1:1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16.5" thickBot="1" x14ac:dyDescent="0.3">
      <c r="A12" s="186" t="s">
        <v>212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ht="15.75" customHeight="1" x14ac:dyDescent="0.25">
      <c r="A13" s="475" t="s">
        <v>30</v>
      </c>
      <c r="B13" s="400" t="s">
        <v>52</v>
      </c>
      <c r="C13" s="451" t="s">
        <v>213</v>
      </c>
      <c r="D13" s="478" t="s">
        <v>53</v>
      </c>
      <c r="E13" s="479"/>
      <c r="F13" s="480"/>
      <c r="G13" s="400" t="s">
        <v>54</v>
      </c>
      <c r="H13" s="451" t="s">
        <v>213</v>
      </c>
      <c r="I13" s="478" t="s">
        <v>55</v>
      </c>
      <c r="J13" s="479"/>
      <c r="K13" s="480"/>
    </row>
    <row r="14" spans="1:11" ht="26.25" thickBot="1" x14ac:dyDescent="0.3">
      <c r="A14" s="476"/>
      <c r="B14" s="401"/>
      <c r="C14" s="477"/>
      <c r="D14" s="162" t="s">
        <v>14</v>
      </c>
      <c r="E14" s="162" t="s">
        <v>15</v>
      </c>
      <c r="F14" s="188" t="s">
        <v>16</v>
      </c>
      <c r="G14" s="401"/>
      <c r="H14" s="477"/>
      <c r="I14" s="162" t="s">
        <v>14</v>
      </c>
      <c r="J14" s="162" t="s">
        <v>15</v>
      </c>
      <c r="K14" s="188" t="s">
        <v>16</v>
      </c>
    </row>
    <row r="15" spans="1:11" x14ac:dyDescent="0.25">
      <c r="A15" s="189" t="s">
        <v>249</v>
      </c>
      <c r="B15" s="193">
        <v>17</v>
      </c>
      <c r="C15" s="193">
        <v>11</v>
      </c>
      <c r="D15" s="193">
        <v>79.25</v>
      </c>
      <c r="E15" s="195">
        <v>0</v>
      </c>
      <c r="F15" s="195">
        <v>2</v>
      </c>
      <c r="G15" s="195">
        <v>5</v>
      </c>
      <c r="H15" s="195">
        <v>3</v>
      </c>
      <c r="I15" s="195">
        <v>9.75</v>
      </c>
      <c r="J15" s="193">
        <v>0</v>
      </c>
      <c r="K15" s="193">
        <v>3</v>
      </c>
    </row>
    <row r="16" spans="1:11" x14ac:dyDescent="0.25">
      <c r="A16" s="189" t="s">
        <v>251</v>
      </c>
      <c r="B16" s="193">
        <v>5</v>
      </c>
      <c r="C16" s="193">
        <v>5</v>
      </c>
      <c r="D16" s="193">
        <v>27</v>
      </c>
      <c r="E16" s="195">
        <v>0</v>
      </c>
      <c r="F16" s="195">
        <v>0</v>
      </c>
      <c r="G16" s="195">
        <v>9</v>
      </c>
      <c r="H16" s="195">
        <v>7</v>
      </c>
      <c r="I16" s="195">
        <v>37.75</v>
      </c>
      <c r="J16" s="193">
        <v>0</v>
      </c>
      <c r="K16" s="193">
        <v>3</v>
      </c>
    </row>
    <row r="17" spans="1:11" x14ac:dyDescent="0.25">
      <c r="A17" s="189" t="s">
        <v>582</v>
      </c>
      <c r="B17" s="193">
        <v>7</v>
      </c>
      <c r="C17" s="193">
        <v>7</v>
      </c>
      <c r="D17" s="193">
        <v>33</v>
      </c>
      <c r="E17" s="195">
        <v>0</v>
      </c>
      <c r="F17" s="195">
        <v>0</v>
      </c>
      <c r="G17" s="195">
        <v>10</v>
      </c>
      <c r="H17" s="195">
        <v>5</v>
      </c>
      <c r="I17" s="195">
        <v>0</v>
      </c>
      <c r="J17" s="193">
        <v>0</v>
      </c>
      <c r="K17" s="193">
        <v>5</v>
      </c>
    </row>
    <row r="18" spans="1:11" x14ac:dyDescent="0.25">
      <c r="A18" s="57" t="s">
        <v>583</v>
      </c>
      <c r="B18" s="119">
        <v>7</v>
      </c>
      <c r="C18" s="119">
        <v>5</v>
      </c>
      <c r="D18" s="119">
        <v>33.5</v>
      </c>
      <c r="E18" s="197">
        <v>0</v>
      </c>
      <c r="F18" s="197">
        <v>0</v>
      </c>
      <c r="G18" s="197">
        <v>1</v>
      </c>
      <c r="H18" s="197">
        <v>1</v>
      </c>
      <c r="I18" s="197">
        <v>9</v>
      </c>
      <c r="J18" s="119">
        <v>0</v>
      </c>
      <c r="K18" s="119">
        <v>0</v>
      </c>
    </row>
    <row r="19" spans="1:11" ht="16.5" thickBot="1" x14ac:dyDescent="0.3">
      <c r="A19" s="57" t="s">
        <v>260</v>
      </c>
      <c r="B19" s="119">
        <v>22</v>
      </c>
      <c r="C19" s="119">
        <v>14</v>
      </c>
      <c r="D19" s="119">
        <v>104.25</v>
      </c>
      <c r="E19" s="197">
        <v>0</v>
      </c>
      <c r="F19" s="197">
        <v>0</v>
      </c>
      <c r="G19" s="197">
        <v>3</v>
      </c>
      <c r="H19" s="197">
        <v>2</v>
      </c>
      <c r="I19" s="197">
        <v>15</v>
      </c>
      <c r="J19" s="119">
        <v>0</v>
      </c>
      <c r="K19" s="119">
        <v>0</v>
      </c>
    </row>
    <row r="20" spans="1:11" ht="16.5" thickBot="1" x14ac:dyDescent="0.3">
      <c r="A20" s="190" t="s">
        <v>34</v>
      </c>
      <c r="B20" s="198">
        <f t="shared" ref="B20:K20" si="1">SUM(B15:B19)</f>
        <v>58</v>
      </c>
      <c r="C20" s="199">
        <f t="shared" si="1"/>
        <v>42</v>
      </c>
      <c r="D20" s="199">
        <f t="shared" si="1"/>
        <v>277</v>
      </c>
      <c r="E20" s="199">
        <f t="shared" si="1"/>
        <v>0</v>
      </c>
      <c r="F20" s="200">
        <f t="shared" si="1"/>
        <v>2</v>
      </c>
      <c r="G20" s="198">
        <f t="shared" si="1"/>
        <v>28</v>
      </c>
      <c r="H20" s="199">
        <f t="shared" si="1"/>
        <v>18</v>
      </c>
      <c r="I20" s="199">
        <f t="shared" si="1"/>
        <v>71.5</v>
      </c>
      <c r="J20" s="199">
        <f t="shared" si="1"/>
        <v>0</v>
      </c>
      <c r="K20" s="200">
        <f t="shared" si="1"/>
        <v>11</v>
      </c>
    </row>
    <row r="21" spans="1:11" ht="16.5" thickBot="1" x14ac:dyDescent="0.3">
      <c r="A21" s="150"/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spans="1:11" x14ac:dyDescent="0.25">
      <c r="A22" s="191" t="s">
        <v>214</v>
      </c>
      <c r="B22" s="201">
        <f t="shared" ref="B22:K22" si="2">+B10-B20</f>
        <v>7</v>
      </c>
      <c r="C22" s="120">
        <f t="shared" si="2"/>
        <v>4</v>
      </c>
      <c r="D22" s="120">
        <f t="shared" si="2"/>
        <v>45.5</v>
      </c>
      <c r="E22" s="120">
        <f t="shared" si="2"/>
        <v>0</v>
      </c>
      <c r="F22" s="132">
        <f t="shared" si="2"/>
        <v>0.95000000000000018</v>
      </c>
      <c r="G22" s="201">
        <f t="shared" si="2"/>
        <v>2</v>
      </c>
      <c r="H22" s="120">
        <f t="shared" si="2"/>
        <v>-3</v>
      </c>
      <c r="I22" s="120">
        <f t="shared" si="2"/>
        <v>29.5</v>
      </c>
      <c r="J22" s="120">
        <f t="shared" si="2"/>
        <v>0</v>
      </c>
      <c r="K22" s="132">
        <f t="shared" si="2"/>
        <v>-6.6</v>
      </c>
    </row>
    <row r="23" spans="1:11" ht="16.5" thickBot="1" x14ac:dyDescent="0.3">
      <c r="A23" s="192" t="s">
        <v>130</v>
      </c>
      <c r="B23" s="202">
        <f>+IFERROR(B22/B20,0)*100</f>
        <v>12.068965517241379</v>
      </c>
      <c r="C23" s="203">
        <f>+IFERROR(C22/C20,0)*100</f>
        <v>9.5238095238095237</v>
      </c>
      <c r="D23" s="203">
        <f t="shared" ref="D23:K23" si="3">+IFERROR(D22/D20,0)*100</f>
        <v>16.425992779783392</v>
      </c>
      <c r="E23" s="203">
        <f t="shared" si="3"/>
        <v>0</v>
      </c>
      <c r="F23" s="204">
        <f t="shared" si="3"/>
        <v>47.500000000000007</v>
      </c>
      <c r="G23" s="202">
        <f t="shared" si="3"/>
        <v>7.1428571428571423</v>
      </c>
      <c r="H23" s="203">
        <f t="shared" si="3"/>
        <v>-16.666666666666664</v>
      </c>
      <c r="I23" s="203">
        <f t="shared" si="3"/>
        <v>41.25874125874126</v>
      </c>
      <c r="J23" s="203">
        <f t="shared" si="3"/>
        <v>0</v>
      </c>
      <c r="K23" s="204">
        <f t="shared" si="3"/>
        <v>-60</v>
      </c>
    </row>
    <row r="24" spans="1:11" x14ac:dyDescent="0.25">
      <c r="J24" s="11"/>
      <c r="K24" s="11"/>
    </row>
  </sheetData>
  <mergeCells count="15">
    <mergeCell ref="G3:G4"/>
    <mergeCell ref="G13:G14"/>
    <mergeCell ref="A1:K1"/>
    <mergeCell ref="A13:A14"/>
    <mergeCell ref="C13:C14"/>
    <mergeCell ref="D13:F13"/>
    <mergeCell ref="H13:H14"/>
    <mergeCell ref="I13:K13"/>
    <mergeCell ref="B13:B14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C2" sqref="C2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74" t="s">
        <v>220</v>
      </c>
      <c r="B1" s="474"/>
      <c r="C1" s="474"/>
      <c r="D1" s="474"/>
      <c r="E1" s="474"/>
      <c r="F1" s="474"/>
      <c r="G1" s="2"/>
      <c r="H1" s="2"/>
      <c r="I1" s="8"/>
      <c r="J1" s="8"/>
    </row>
    <row r="2" spans="1:10" ht="48" thickBot="1" x14ac:dyDescent="0.3">
      <c r="A2" s="205" t="s">
        <v>25</v>
      </c>
      <c r="B2" s="146" t="s">
        <v>56</v>
      </c>
      <c r="C2" s="146" t="s">
        <v>57</v>
      </c>
      <c r="D2" s="146" t="s">
        <v>58</v>
      </c>
      <c r="E2" s="146" t="s">
        <v>59</v>
      </c>
      <c r="F2" s="26" t="s">
        <v>87</v>
      </c>
      <c r="G2" s="12"/>
      <c r="H2" s="12"/>
    </row>
    <row r="3" spans="1:10" x14ac:dyDescent="0.25">
      <c r="A3" s="179"/>
      <c r="B3" s="179"/>
      <c r="C3" s="179"/>
      <c r="D3" s="179"/>
      <c r="E3" s="179"/>
      <c r="F3" s="27"/>
      <c r="G3" s="10"/>
      <c r="H3" s="10"/>
    </row>
    <row r="4" spans="1:10" x14ac:dyDescent="0.25">
      <c r="A4" s="179"/>
      <c r="B4" s="179"/>
      <c r="C4" s="179"/>
      <c r="D4" s="179"/>
      <c r="E4" s="179"/>
      <c r="F4" s="27"/>
      <c r="G4" s="10"/>
      <c r="H4" s="10"/>
    </row>
    <row r="5" spans="1:10" x14ac:dyDescent="0.25">
      <c r="A5" s="179"/>
      <c r="B5" s="179"/>
      <c r="C5" s="179"/>
      <c r="D5" s="179"/>
      <c r="E5" s="179"/>
      <c r="F5" s="27"/>
      <c r="G5" s="10"/>
      <c r="H5" s="10"/>
    </row>
    <row r="6" spans="1:10" x14ac:dyDescent="0.25">
      <c r="A6" s="179"/>
      <c r="B6" s="179"/>
      <c r="C6" s="179"/>
      <c r="D6" s="179"/>
      <c r="E6" s="179"/>
      <c r="F6" s="27"/>
      <c r="G6" s="10"/>
      <c r="H6" s="10"/>
    </row>
    <row r="7" spans="1:10" x14ac:dyDescent="0.25">
      <c r="A7" s="57"/>
      <c r="B7" s="57"/>
      <c r="C7" s="57"/>
      <c r="D7" s="57"/>
      <c r="E7" s="57"/>
      <c r="F7" s="9"/>
      <c r="G7" s="10"/>
      <c r="H7" s="10"/>
    </row>
    <row r="8" spans="1:10" x14ac:dyDescent="0.25">
      <c r="A8" s="57"/>
      <c r="B8" s="57"/>
      <c r="C8" s="57"/>
      <c r="D8" s="57"/>
      <c r="E8" s="57"/>
      <c r="F8" s="9"/>
      <c r="G8" s="10"/>
      <c r="H8" s="10"/>
    </row>
    <row r="9" spans="1:10" x14ac:dyDescent="0.25">
      <c r="A9" s="57"/>
      <c r="B9" s="57"/>
      <c r="C9" s="57"/>
      <c r="D9" s="57"/>
      <c r="E9" s="57"/>
      <c r="F9" s="9"/>
      <c r="G9" s="10"/>
      <c r="H9" s="10"/>
    </row>
    <row r="10" spans="1:10" ht="12.75" customHeight="1" thickBot="1" x14ac:dyDescent="0.3">
      <c r="A10" s="150"/>
      <c r="B10" s="150"/>
      <c r="C10" s="150"/>
      <c r="D10" s="150"/>
      <c r="E10" s="150"/>
      <c r="F10" s="10"/>
      <c r="G10" s="10"/>
      <c r="H10" s="10"/>
    </row>
    <row r="11" spans="1:10" ht="64.5" customHeight="1" thickBot="1" x14ac:dyDescent="0.3">
      <c r="A11" s="87"/>
      <c r="B11" s="206" t="s">
        <v>60</v>
      </c>
      <c r="C11" s="147"/>
      <c r="D11" s="164" t="s">
        <v>61</v>
      </c>
      <c r="E11" s="150"/>
      <c r="F11" s="10"/>
      <c r="G11" s="10"/>
      <c r="H11" s="10"/>
    </row>
    <row r="12" spans="1:10" x14ac:dyDescent="0.25">
      <c r="A12" s="87"/>
      <c r="B12" s="179" t="s">
        <v>221</v>
      </c>
      <c r="C12" s="207">
        <v>1</v>
      </c>
      <c r="D12" s="179">
        <v>0</v>
      </c>
      <c r="E12" s="150"/>
      <c r="F12" s="4"/>
      <c r="G12" s="4"/>
      <c r="H12" s="4"/>
    </row>
    <row r="13" spans="1:10" x14ac:dyDescent="0.25">
      <c r="A13" s="87"/>
      <c r="B13" s="179" t="s">
        <v>222</v>
      </c>
      <c r="C13" s="208">
        <v>1</v>
      </c>
      <c r="D13" s="57">
        <v>0</v>
      </c>
      <c r="E13" s="150"/>
      <c r="F13" s="4"/>
      <c r="G13" s="4"/>
      <c r="H13" s="4"/>
    </row>
    <row r="14" spans="1:10" x14ac:dyDescent="0.25">
      <c r="A14" s="87"/>
      <c r="B14" s="179" t="s">
        <v>223</v>
      </c>
      <c r="C14" s="208"/>
      <c r="D14" s="57"/>
      <c r="E14" s="150"/>
      <c r="F14" s="4"/>
      <c r="G14" s="4"/>
      <c r="H14" s="4"/>
    </row>
    <row r="15" spans="1:10" x14ac:dyDescent="0.25">
      <c r="A15" s="87"/>
      <c r="B15" s="57" t="s">
        <v>133</v>
      </c>
      <c r="C15" s="208"/>
      <c r="D15" s="57"/>
      <c r="E15" s="150"/>
      <c r="F15" s="4"/>
      <c r="G15" s="4"/>
      <c r="H15" s="4"/>
    </row>
    <row r="16" spans="1:10" x14ac:dyDescent="0.25">
      <c r="A16" s="87"/>
      <c r="B16" s="57" t="s">
        <v>17</v>
      </c>
      <c r="C16" s="208"/>
      <c r="D16" s="57"/>
      <c r="E16" s="150"/>
      <c r="F16" s="4"/>
      <c r="G16" s="4"/>
      <c r="H16" s="4"/>
    </row>
    <row r="17" spans="1:6" x14ac:dyDescent="0.25">
      <c r="A17" s="87"/>
      <c r="B17" s="57" t="s">
        <v>18</v>
      </c>
      <c r="C17" s="208"/>
      <c r="D17" s="57"/>
      <c r="E17" s="150"/>
      <c r="F17" s="4"/>
    </row>
    <row r="18" spans="1:6" x14ac:dyDescent="0.25">
      <c r="A18" s="87"/>
      <c r="B18" s="57" t="s">
        <v>96</v>
      </c>
      <c r="C18" s="208"/>
      <c r="D18" s="57"/>
      <c r="E18" s="150"/>
      <c r="F18" s="4"/>
    </row>
    <row r="19" spans="1:6" ht="9.75" customHeight="1" thickBot="1" x14ac:dyDescent="0.3">
      <c r="A19" s="87"/>
      <c r="B19" s="150"/>
      <c r="C19" s="150"/>
      <c r="D19" s="150"/>
      <c r="E19" s="150"/>
      <c r="F19" s="4"/>
    </row>
    <row r="20" spans="1:6" ht="31.5" customHeight="1" thickBot="1" x14ac:dyDescent="0.3">
      <c r="A20" s="87"/>
      <c r="B20" s="205" t="s">
        <v>131</v>
      </c>
      <c r="C20" s="209" t="s">
        <v>132</v>
      </c>
      <c r="D20" s="87"/>
      <c r="E20" s="150"/>
      <c r="F20" s="4"/>
    </row>
    <row r="21" spans="1:6" ht="32.25" customHeight="1" x14ac:dyDescent="0.25">
      <c r="A21" s="87"/>
      <c r="B21" s="210"/>
      <c r="C21" s="179"/>
      <c r="D21" s="150"/>
      <c r="E21" s="150"/>
      <c r="F21" s="4"/>
    </row>
    <row r="22" spans="1:6" x14ac:dyDescent="0.25">
      <c r="A22" s="87"/>
      <c r="B22" s="87"/>
      <c r="C22" s="87"/>
      <c r="D22" s="87"/>
      <c r="E22" s="87"/>
    </row>
    <row r="23" spans="1:6" x14ac:dyDescent="0.25">
      <c r="A23" s="87"/>
      <c r="B23" s="87"/>
      <c r="C23" s="87"/>
      <c r="D23" s="87"/>
      <c r="E23" s="87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4.125" customWidth="1"/>
    <col min="2" max="2" width="35.25" customWidth="1"/>
    <col min="3" max="3" width="25.12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84" t="s">
        <v>224</v>
      </c>
      <c r="B1" s="484"/>
      <c r="C1" s="484"/>
      <c r="D1" s="484"/>
      <c r="E1" s="484"/>
      <c r="F1" s="484"/>
      <c r="G1" s="16"/>
    </row>
    <row r="2" spans="1:7" ht="26.25" thickBot="1" x14ac:dyDescent="0.3">
      <c r="A2" s="211" t="s">
        <v>25</v>
      </c>
      <c r="B2" s="148" t="s">
        <v>56</v>
      </c>
      <c r="C2" s="148" t="s">
        <v>57</v>
      </c>
      <c r="D2" s="148" t="s">
        <v>58</v>
      </c>
      <c r="E2" s="148" t="s">
        <v>144</v>
      </c>
      <c r="F2" s="149" t="s">
        <v>87</v>
      </c>
      <c r="G2" s="7"/>
    </row>
    <row r="3" spans="1:7" x14ac:dyDescent="0.25">
      <c r="A3" s="212">
        <v>1</v>
      </c>
      <c r="B3" s="111" t="s">
        <v>527</v>
      </c>
      <c r="C3" s="111" t="s">
        <v>244</v>
      </c>
      <c r="D3" s="213">
        <v>41929</v>
      </c>
      <c r="E3" s="213">
        <v>42226</v>
      </c>
      <c r="F3" s="212" t="s">
        <v>528</v>
      </c>
      <c r="G3" s="10"/>
    </row>
    <row r="4" spans="1:7" x14ac:dyDescent="0.25">
      <c r="A4" s="196">
        <v>2</v>
      </c>
      <c r="B4" s="79" t="s">
        <v>529</v>
      </c>
      <c r="C4" s="81" t="s">
        <v>252</v>
      </c>
      <c r="D4" s="214">
        <v>41781</v>
      </c>
      <c r="E4" s="214">
        <v>42037</v>
      </c>
      <c r="F4" s="80" t="s">
        <v>530</v>
      </c>
      <c r="G4" s="10"/>
    </row>
    <row r="5" spans="1:7" x14ac:dyDescent="0.25">
      <c r="A5" s="196">
        <v>3</v>
      </c>
      <c r="B5" s="111" t="s">
        <v>531</v>
      </c>
      <c r="C5" s="111" t="s">
        <v>252</v>
      </c>
      <c r="D5" s="213">
        <v>41963</v>
      </c>
      <c r="E5" s="213">
        <v>42264</v>
      </c>
      <c r="F5" s="212" t="s">
        <v>528</v>
      </c>
      <c r="G5" s="10"/>
    </row>
    <row r="6" spans="1:7" x14ac:dyDescent="0.25">
      <c r="A6" s="196">
        <v>4</v>
      </c>
      <c r="B6" s="81" t="s">
        <v>532</v>
      </c>
      <c r="C6" s="81" t="s">
        <v>253</v>
      </c>
      <c r="D6" s="215">
        <v>42159</v>
      </c>
      <c r="E6" s="215">
        <v>42353</v>
      </c>
      <c r="F6" s="196" t="s">
        <v>528</v>
      </c>
      <c r="G6" s="10"/>
    </row>
    <row r="7" spans="1:7" x14ac:dyDescent="0.25">
      <c r="A7" s="196">
        <v>5</v>
      </c>
      <c r="B7" s="81" t="s">
        <v>533</v>
      </c>
      <c r="C7" s="81" t="s">
        <v>253</v>
      </c>
      <c r="D7" s="215">
        <v>42172</v>
      </c>
      <c r="E7" s="215">
        <v>42353</v>
      </c>
      <c r="F7" s="196" t="s">
        <v>528</v>
      </c>
      <c r="G7" s="10"/>
    </row>
    <row r="8" spans="1:7" x14ac:dyDescent="0.25">
      <c r="A8" s="196">
        <v>6</v>
      </c>
      <c r="B8" s="111" t="s">
        <v>534</v>
      </c>
      <c r="C8" s="111" t="s">
        <v>259</v>
      </c>
      <c r="D8" s="213">
        <v>42023</v>
      </c>
      <c r="E8" s="213">
        <v>42165</v>
      </c>
      <c r="F8" s="212" t="s">
        <v>530</v>
      </c>
      <c r="G8" s="10"/>
    </row>
    <row r="9" spans="1:7" x14ac:dyDescent="0.25">
      <c r="A9" s="196">
        <v>7</v>
      </c>
      <c r="B9" s="81" t="s">
        <v>535</v>
      </c>
      <c r="C9" s="81" t="s">
        <v>261</v>
      </c>
      <c r="D9" s="212" t="s">
        <v>536</v>
      </c>
      <c r="E9" s="215">
        <v>42118</v>
      </c>
      <c r="F9" s="196" t="s">
        <v>530</v>
      </c>
      <c r="G9" s="10"/>
    </row>
    <row r="10" spans="1:7" ht="16.5" thickBot="1" x14ac:dyDescent="0.3">
      <c r="A10" s="23"/>
      <c r="B10" s="23"/>
      <c r="C10" s="23"/>
      <c r="D10" s="23"/>
      <c r="E10" s="23"/>
      <c r="F10" s="24"/>
      <c r="G10" s="4"/>
    </row>
    <row r="11" spans="1:7" ht="53.25" customHeight="1" thickBot="1" x14ac:dyDescent="0.3">
      <c r="A11" s="25"/>
      <c r="B11" s="216" t="s">
        <v>62</v>
      </c>
      <c r="C11" s="217"/>
      <c r="D11" s="218" t="s">
        <v>61</v>
      </c>
      <c r="E11" s="23"/>
      <c r="F11" s="24"/>
      <c r="G11" s="4"/>
    </row>
    <row r="12" spans="1:7" x14ac:dyDescent="0.25">
      <c r="A12" s="25"/>
      <c r="B12" s="111" t="s">
        <v>221</v>
      </c>
      <c r="C12" s="219">
        <v>6</v>
      </c>
      <c r="D12" s="212">
        <v>3</v>
      </c>
      <c r="E12" s="23"/>
      <c r="F12" s="23"/>
      <c r="G12" s="4"/>
    </row>
    <row r="13" spans="1:7" x14ac:dyDescent="0.25">
      <c r="A13" s="25"/>
      <c r="B13" s="111" t="s">
        <v>222</v>
      </c>
      <c r="C13" s="220">
        <v>4</v>
      </c>
      <c r="D13" s="196">
        <v>1</v>
      </c>
      <c r="E13" s="23"/>
      <c r="F13" s="23"/>
      <c r="G13" s="4"/>
    </row>
    <row r="14" spans="1:7" x14ac:dyDescent="0.25">
      <c r="A14" s="25"/>
      <c r="B14" s="111" t="s">
        <v>223</v>
      </c>
      <c r="C14" s="220">
        <v>7</v>
      </c>
      <c r="D14" s="196">
        <v>6</v>
      </c>
      <c r="E14" s="23"/>
      <c r="F14" s="23"/>
      <c r="G14" s="4"/>
    </row>
    <row r="15" spans="1:7" x14ac:dyDescent="0.25">
      <c r="A15" s="25"/>
      <c r="B15" s="81" t="s">
        <v>133</v>
      </c>
      <c r="C15" s="220"/>
      <c r="D15" s="196"/>
      <c r="E15" s="23"/>
      <c r="F15" s="23"/>
      <c r="G15" s="4"/>
    </row>
    <row r="16" spans="1:7" x14ac:dyDescent="0.25">
      <c r="A16" s="25"/>
      <c r="B16" s="81" t="s">
        <v>17</v>
      </c>
      <c r="C16" s="220"/>
      <c r="D16" s="196"/>
      <c r="E16" s="23"/>
      <c r="F16" s="23"/>
      <c r="G16" s="4"/>
    </row>
    <row r="17" spans="1:6" x14ac:dyDescent="0.25">
      <c r="A17" s="25"/>
      <c r="B17" s="81" t="s">
        <v>18</v>
      </c>
      <c r="C17" s="220"/>
      <c r="D17" s="196"/>
      <c r="E17" s="23"/>
      <c r="F17" s="23"/>
    </row>
    <row r="18" spans="1:6" x14ac:dyDescent="0.25">
      <c r="A18" s="25"/>
      <c r="B18" s="81" t="s">
        <v>96</v>
      </c>
      <c r="C18" s="220"/>
      <c r="D18" s="196"/>
      <c r="E18" s="23"/>
      <c r="F18" s="23"/>
    </row>
    <row r="19" spans="1:6" ht="16.5" thickBot="1" x14ac:dyDescent="0.3">
      <c r="A19" s="25"/>
      <c r="B19" s="124"/>
      <c r="C19" s="124"/>
      <c r="D19" s="124"/>
      <c r="E19" s="23"/>
      <c r="F19" s="23"/>
    </row>
    <row r="20" spans="1:6" ht="31.5" customHeight="1" thickBot="1" x14ac:dyDescent="0.3">
      <c r="A20" s="25"/>
      <c r="B20" s="221" t="s">
        <v>134</v>
      </c>
      <c r="C20" s="222">
        <v>7</v>
      </c>
      <c r="D20" s="223" t="s">
        <v>135</v>
      </c>
      <c r="E20" s="224">
        <v>33</v>
      </c>
      <c r="F20" s="23"/>
    </row>
    <row r="21" spans="1:6" x14ac:dyDescent="0.25">
      <c r="D21" s="11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D7" sqref="D7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85" t="s">
        <v>652</v>
      </c>
      <c r="B1" s="485"/>
      <c r="C1" s="485"/>
      <c r="D1" s="485"/>
      <c r="E1" s="485"/>
      <c r="F1" s="485"/>
      <c r="G1" s="485"/>
      <c r="H1" s="485"/>
      <c r="I1" s="485"/>
      <c r="J1" s="225"/>
    </row>
    <row r="2" spans="1:10" s="2" customFormat="1" ht="174" customHeight="1" thickBot="1" x14ac:dyDescent="0.3">
      <c r="A2" s="177" t="s">
        <v>653</v>
      </c>
      <c r="B2" s="146" t="s">
        <v>654</v>
      </c>
      <c r="C2" s="146" t="s">
        <v>655</v>
      </c>
      <c r="D2" s="146" t="s">
        <v>656</v>
      </c>
      <c r="E2" s="146" t="s">
        <v>657</v>
      </c>
      <c r="F2" s="146" t="s">
        <v>658</v>
      </c>
      <c r="G2" s="146" t="s">
        <v>659</v>
      </c>
      <c r="H2" s="146" t="s">
        <v>660</v>
      </c>
      <c r="I2" s="164" t="s">
        <v>661</v>
      </c>
      <c r="J2" s="226"/>
    </row>
    <row r="3" spans="1:10" x14ac:dyDescent="0.25">
      <c r="A3" s="237" t="s">
        <v>662</v>
      </c>
      <c r="B3" s="119">
        <v>10</v>
      </c>
      <c r="C3" s="119">
        <v>0.95</v>
      </c>
      <c r="D3" s="119">
        <v>0.8</v>
      </c>
      <c r="E3" s="119">
        <v>2.2000000000000002</v>
      </c>
      <c r="F3" s="119">
        <v>0</v>
      </c>
      <c r="G3" s="119">
        <v>1</v>
      </c>
      <c r="H3" s="119">
        <v>2</v>
      </c>
      <c r="I3" s="119">
        <v>9</v>
      </c>
      <c r="J3" s="4"/>
    </row>
    <row r="4" spans="1:10" x14ac:dyDescent="0.25">
      <c r="A4" s="238" t="s">
        <v>663</v>
      </c>
      <c r="B4" s="119">
        <v>21</v>
      </c>
      <c r="C4" s="119">
        <v>1.23</v>
      </c>
      <c r="D4" s="119">
        <v>0.71</v>
      </c>
      <c r="E4" s="119">
        <v>4</v>
      </c>
      <c r="F4" s="119">
        <v>0</v>
      </c>
      <c r="G4" s="119">
        <v>2</v>
      </c>
      <c r="H4" s="119">
        <v>1</v>
      </c>
      <c r="I4" s="119">
        <v>12</v>
      </c>
      <c r="J4" s="4"/>
    </row>
    <row r="5" spans="1:10" x14ac:dyDescent="0.25">
      <c r="A5" s="238" t="s">
        <v>72</v>
      </c>
      <c r="B5" s="119">
        <v>42</v>
      </c>
      <c r="C5" s="119">
        <v>1.67</v>
      </c>
      <c r="D5" s="119">
        <v>1.1499999999999999</v>
      </c>
      <c r="E5" s="119">
        <v>2.4</v>
      </c>
      <c r="F5" s="119">
        <v>0</v>
      </c>
      <c r="G5" s="119">
        <v>2</v>
      </c>
      <c r="H5" s="119">
        <v>0</v>
      </c>
      <c r="I5" s="119">
        <v>26</v>
      </c>
      <c r="J5" s="4"/>
    </row>
    <row r="6" spans="1:10" x14ac:dyDescent="0.25">
      <c r="A6" s="289" t="s">
        <v>34</v>
      </c>
      <c r="B6" s="142">
        <f>SUM(B3:B5)</f>
        <v>73</v>
      </c>
      <c r="C6" s="161">
        <f>+IFERROR(($B$3*C3+$B$4*C4+$B$5*C5)/$B$6,0)</f>
        <v>1.4447945205479451</v>
      </c>
      <c r="D6" s="161">
        <f>+IFERROR(($B$3*D3+$B$4*D4+$B$5*D5)/$B$6,0)</f>
        <v>0.97547945205479447</v>
      </c>
      <c r="E6" s="161">
        <f>+IFERROR(($B$3*E3+$B$4*E4+$B$5*E5)/$B$6,0)</f>
        <v>2.8328767123287673</v>
      </c>
      <c r="F6" s="142">
        <f>SUM(F3:F5)</f>
        <v>0</v>
      </c>
      <c r="G6" s="142">
        <f>SUM(G3:G5)</f>
        <v>5</v>
      </c>
      <c r="H6" s="142">
        <f>SUM(H3:H5)</f>
        <v>3</v>
      </c>
      <c r="I6" s="142">
        <f>SUM(I3:I5)</f>
        <v>47</v>
      </c>
      <c r="J6" s="4"/>
    </row>
    <row r="7" spans="1:10" x14ac:dyDescent="0.25">
      <c r="A7" s="150"/>
      <c r="B7" s="150"/>
      <c r="C7" s="150"/>
      <c r="D7" s="150"/>
      <c r="E7" s="150"/>
      <c r="F7" s="150"/>
      <c r="G7" s="150"/>
      <c r="H7" s="150"/>
      <c r="I7" s="150"/>
      <c r="J7" s="4"/>
    </row>
    <row r="8" spans="1:10" s="172" customFormat="1" ht="16.5" thickBot="1" x14ac:dyDescent="0.3">
      <c r="A8" s="486" t="s">
        <v>664</v>
      </c>
      <c r="B8" s="486"/>
      <c r="C8" s="486"/>
      <c r="D8" s="240"/>
      <c r="E8" s="240"/>
      <c r="F8" s="240"/>
      <c r="G8" s="240"/>
      <c r="H8" s="240"/>
      <c r="I8" s="240"/>
      <c r="J8" s="7"/>
    </row>
    <row r="9" spans="1:10" s="172" customFormat="1" ht="27" thickBot="1" x14ac:dyDescent="0.3">
      <c r="A9" s="177" t="s">
        <v>665</v>
      </c>
      <c r="B9" s="146" t="s">
        <v>666</v>
      </c>
      <c r="C9" s="152" t="s">
        <v>667</v>
      </c>
      <c r="D9" s="240"/>
      <c r="E9" s="240"/>
      <c r="F9" s="240"/>
      <c r="G9" s="240"/>
      <c r="H9" s="240"/>
      <c r="I9" s="240"/>
      <c r="J9" s="7"/>
    </row>
    <row r="10" spans="1:10" x14ac:dyDescent="0.25">
      <c r="A10" s="237" t="s">
        <v>668</v>
      </c>
      <c r="B10" s="119">
        <v>6</v>
      </c>
      <c r="C10" s="277">
        <v>4</v>
      </c>
      <c r="D10" s="150"/>
      <c r="E10" s="150"/>
      <c r="F10" s="150"/>
      <c r="G10" s="150"/>
      <c r="H10" s="150"/>
      <c r="I10" s="150"/>
      <c r="J10" s="4"/>
    </row>
    <row r="11" spans="1:10" x14ac:dyDescent="0.25">
      <c r="A11" s="238" t="s">
        <v>669</v>
      </c>
      <c r="B11" s="119">
        <v>33</v>
      </c>
      <c r="C11" s="278">
        <v>12.39</v>
      </c>
      <c r="D11" s="150"/>
      <c r="E11" s="150"/>
      <c r="F11" s="150"/>
      <c r="G11" s="150"/>
      <c r="H11" s="150"/>
      <c r="I11" s="150"/>
      <c r="J11" s="4"/>
    </row>
    <row r="12" spans="1:10" ht="13.5" customHeight="1" x14ac:dyDescent="0.25">
      <c r="A12" s="289" t="s">
        <v>34</v>
      </c>
      <c r="B12" s="142">
        <f>+B10+B11</f>
        <v>39</v>
      </c>
      <c r="C12" s="142">
        <f>+C10+C11</f>
        <v>16.39</v>
      </c>
      <c r="D12" s="87"/>
      <c r="E12" s="87"/>
      <c r="F12" s="87"/>
      <c r="G12" s="87"/>
      <c r="H12" s="87"/>
      <c r="I12" s="87"/>
    </row>
    <row r="13" spans="1:10" x14ac:dyDescent="0.25">
      <c r="C13" s="11"/>
    </row>
  </sheetData>
  <mergeCells count="2">
    <mergeCell ref="A1:I1"/>
    <mergeCell ref="A8:C8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view="pageBreakPreview" zoomScaleNormal="100" zoomScaleSheetLayoutView="100" workbookViewId="0">
      <selection activeCell="G12" sqref="G12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74" t="s">
        <v>97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13"/>
      <c r="O1" s="13"/>
      <c r="P1" s="13"/>
      <c r="Q1" s="13"/>
      <c r="R1" s="13"/>
      <c r="S1" s="13"/>
    </row>
    <row r="2" spans="1:19" ht="16.5" thickBot="1" x14ac:dyDescent="0.3">
      <c r="A2" s="87" t="s">
        <v>225</v>
      </c>
      <c r="B2" s="87"/>
      <c r="C2" s="187"/>
      <c r="D2" s="187"/>
      <c r="E2" s="87"/>
      <c r="F2" s="87"/>
      <c r="G2" s="87"/>
      <c r="H2" s="487"/>
      <c r="I2" s="487"/>
      <c r="J2" s="487"/>
      <c r="K2" s="487"/>
      <c r="L2" s="487"/>
      <c r="M2" s="487"/>
    </row>
    <row r="3" spans="1:19" s="3" customFormat="1" ht="66.75" customHeight="1" thickBot="1" x14ac:dyDescent="0.3">
      <c r="A3" s="177" t="s">
        <v>30</v>
      </c>
      <c r="B3" s="146" t="s">
        <v>34</v>
      </c>
      <c r="C3" s="146" t="s">
        <v>63</v>
      </c>
      <c r="D3" s="146" t="s">
        <v>64</v>
      </c>
      <c r="E3" s="146" t="s">
        <v>116</v>
      </c>
      <c r="F3" s="146" t="s">
        <v>118</v>
      </c>
      <c r="G3" s="164" t="s">
        <v>117</v>
      </c>
      <c r="H3" s="146" t="s">
        <v>213</v>
      </c>
      <c r="I3" s="177" t="s">
        <v>63</v>
      </c>
      <c r="J3" s="146" t="s">
        <v>64</v>
      </c>
      <c r="K3" s="146" t="s">
        <v>116</v>
      </c>
      <c r="L3" s="146" t="s">
        <v>118</v>
      </c>
      <c r="M3" s="164" t="s">
        <v>117</v>
      </c>
    </row>
    <row r="4" spans="1:19" s="3" customFormat="1" x14ac:dyDescent="0.25">
      <c r="A4" s="79" t="s">
        <v>249</v>
      </c>
      <c r="B4" s="241">
        <f>SUM(C4:G4)</f>
        <v>66.319999999999993</v>
      </c>
      <c r="C4" s="65">
        <v>15.89</v>
      </c>
      <c r="D4" s="65">
        <v>16.690000000000001</v>
      </c>
      <c r="E4" s="65"/>
      <c r="F4" s="65">
        <v>31.74</v>
      </c>
      <c r="G4" s="65">
        <v>2</v>
      </c>
      <c r="H4" s="242">
        <f t="shared" ref="H4:H9" si="0">SUM(I4:M4)</f>
        <v>28.14</v>
      </c>
      <c r="I4" s="229">
        <v>5.69</v>
      </c>
      <c r="J4" s="227">
        <v>6</v>
      </c>
      <c r="K4" s="227"/>
      <c r="L4" s="227">
        <v>16.45</v>
      </c>
      <c r="M4" s="231"/>
    </row>
    <row r="5" spans="1:19" s="3" customFormat="1" x14ac:dyDescent="0.25">
      <c r="A5" s="60" t="s">
        <v>251</v>
      </c>
      <c r="B5" s="241">
        <f>SUM(C5:G5)</f>
        <v>93.72</v>
      </c>
      <c r="C5" s="65">
        <v>10.38</v>
      </c>
      <c r="D5" s="65">
        <v>28.57</v>
      </c>
      <c r="E5" s="65"/>
      <c r="F5" s="65">
        <v>53.43</v>
      </c>
      <c r="G5" s="65">
        <v>1.34</v>
      </c>
      <c r="H5" s="243">
        <f t="shared" si="0"/>
        <v>48.89</v>
      </c>
      <c r="I5" s="244">
        <v>3</v>
      </c>
      <c r="J5" s="65">
        <v>13.57</v>
      </c>
      <c r="K5" s="65"/>
      <c r="L5" s="65">
        <v>30.98</v>
      </c>
      <c r="M5" s="245">
        <v>1.34</v>
      </c>
    </row>
    <row r="6" spans="1:19" s="3" customFormat="1" x14ac:dyDescent="0.25">
      <c r="A6" s="60" t="s">
        <v>586</v>
      </c>
      <c r="B6" s="241">
        <f t="shared" ref="B6:B9" si="1">SUM(C6:G6)</f>
        <v>58.860000000000007</v>
      </c>
      <c r="C6" s="65">
        <v>13.31</v>
      </c>
      <c r="D6" s="65">
        <v>19.850000000000001</v>
      </c>
      <c r="E6" s="65"/>
      <c r="F6" s="65">
        <v>24.5</v>
      </c>
      <c r="G6" s="65">
        <v>1.2</v>
      </c>
      <c r="H6" s="243">
        <f t="shared" si="0"/>
        <v>38.35</v>
      </c>
      <c r="I6" s="244">
        <v>2.6</v>
      </c>
      <c r="J6" s="65">
        <v>14.75</v>
      </c>
      <c r="K6" s="65"/>
      <c r="L6" s="65">
        <v>20</v>
      </c>
      <c r="M6" s="245">
        <v>1</v>
      </c>
    </row>
    <row r="7" spans="1:19" s="3" customFormat="1" x14ac:dyDescent="0.25">
      <c r="A7" s="60" t="s">
        <v>583</v>
      </c>
      <c r="B7" s="241">
        <f t="shared" si="1"/>
        <v>29.5</v>
      </c>
      <c r="C7" s="65">
        <v>6</v>
      </c>
      <c r="D7" s="65">
        <v>8.61</v>
      </c>
      <c r="E7" s="65"/>
      <c r="F7" s="65">
        <v>12.84</v>
      </c>
      <c r="G7" s="65">
        <v>2.0499999999999998</v>
      </c>
      <c r="H7" s="243">
        <f t="shared" si="0"/>
        <v>6.8</v>
      </c>
      <c r="I7" s="244"/>
      <c r="J7" s="65">
        <v>2</v>
      </c>
      <c r="K7" s="65"/>
      <c r="L7" s="65">
        <v>4.18</v>
      </c>
      <c r="M7" s="245">
        <v>0.62</v>
      </c>
    </row>
    <row r="8" spans="1:19" s="3" customFormat="1" x14ac:dyDescent="0.25">
      <c r="A8" s="60" t="s">
        <v>260</v>
      </c>
      <c r="B8" s="241">
        <f t="shared" si="1"/>
        <v>53.27</v>
      </c>
      <c r="C8" s="65">
        <v>6.33</v>
      </c>
      <c r="D8" s="65">
        <v>13.8</v>
      </c>
      <c r="E8" s="65"/>
      <c r="F8" s="65">
        <v>33.14</v>
      </c>
      <c r="G8" s="65"/>
      <c r="H8" s="243">
        <f t="shared" si="0"/>
        <v>17.5</v>
      </c>
      <c r="I8" s="244">
        <v>2</v>
      </c>
      <c r="J8" s="65">
        <v>6</v>
      </c>
      <c r="K8" s="65"/>
      <c r="L8" s="65">
        <v>9.5</v>
      </c>
      <c r="M8" s="245"/>
    </row>
    <row r="9" spans="1:19" ht="18.75" customHeight="1" x14ac:dyDescent="0.25">
      <c r="A9" s="296" t="s">
        <v>34</v>
      </c>
      <c r="B9" s="297">
        <f t="shared" si="1"/>
        <v>301.67</v>
      </c>
      <c r="C9" s="142">
        <f>SUM(C4:C8)</f>
        <v>51.910000000000004</v>
      </c>
      <c r="D9" s="142">
        <f>SUM(D4:D8)</f>
        <v>87.52000000000001</v>
      </c>
      <c r="E9" s="142">
        <f>SUM(E4:E8)</f>
        <v>0</v>
      </c>
      <c r="F9" s="142">
        <f>SUM(F4:F8)</f>
        <v>155.65</v>
      </c>
      <c r="G9" s="298">
        <f>SUM(G4:G8)</f>
        <v>6.59</v>
      </c>
      <c r="H9" s="299">
        <f t="shared" si="0"/>
        <v>139.68000000000004</v>
      </c>
      <c r="I9" s="300">
        <f>SUM(I4:I8)</f>
        <v>13.290000000000001</v>
      </c>
      <c r="J9" s="142">
        <f>SUM(J4:J8)</f>
        <v>42.32</v>
      </c>
      <c r="K9" s="142">
        <f>SUM(K4:K8)</f>
        <v>0</v>
      </c>
      <c r="L9" s="142">
        <f>SUM(L4:L8)</f>
        <v>81.110000000000014</v>
      </c>
      <c r="M9" s="301">
        <f>SUM(M4:M8)</f>
        <v>2.96</v>
      </c>
    </row>
    <row r="10" spans="1:19" ht="20.25" customHeight="1" x14ac:dyDescent="0.25">
      <c r="A10" s="246" t="s">
        <v>136</v>
      </c>
      <c r="B10" s="266">
        <v>100</v>
      </c>
      <c r="C10" s="160">
        <f t="shared" ref="C10:H10" si="2">+IFERROR(C9/$B$9,0)*100</f>
        <v>17.207544668014719</v>
      </c>
      <c r="D10" s="160">
        <f t="shared" si="2"/>
        <v>29.011834123379852</v>
      </c>
      <c r="E10" s="160">
        <f t="shared" si="2"/>
        <v>0</v>
      </c>
      <c r="F10" s="160">
        <f t="shared" si="2"/>
        <v>51.596114960055694</v>
      </c>
      <c r="G10" s="267">
        <f t="shared" si="2"/>
        <v>2.1845062485497397</v>
      </c>
      <c r="H10" s="268">
        <f t="shared" si="2"/>
        <v>46.302250803858527</v>
      </c>
      <c r="I10" s="269">
        <f>+IFERROR(I9/$H$9,0)*100</f>
        <v>9.5146048109965609</v>
      </c>
      <c r="J10" s="269">
        <f t="shared" ref="J10:M10" si="3">+IFERROR(J9/$H$9,0)*100</f>
        <v>30.297823596792661</v>
      </c>
      <c r="K10" s="269">
        <f t="shared" si="3"/>
        <v>0</v>
      </c>
      <c r="L10" s="269">
        <f t="shared" si="3"/>
        <v>58.068442153493692</v>
      </c>
      <c r="M10" s="268">
        <f t="shared" si="3"/>
        <v>2.1191294387170672</v>
      </c>
    </row>
    <row r="11" spans="1:19" s="25" customFormat="1" ht="20.25" customHeight="1" x14ac:dyDescent="0.25">
      <c r="A11" s="290"/>
      <c r="B11" s="291"/>
      <c r="C11" s="292"/>
      <c r="D11" s="292"/>
      <c r="E11" s="292"/>
      <c r="F11" s="292"/>
      <c r="G11" s="292"/>
      <c r="H11" s="292"/>
      <c r="I11" s="293"/>
      <c r="J11" s="293"/>
      <c r="K11" s="293"/>
      <c r="L11" s="293"/>
      <c r="M11" s="294"/>
    </row>
    <row r="12" spans="1:19" s="295" customFormat="1" ht="33.75" customHeight="1" x14ac:dyDescent="0.25">
      <c r="A12" s="247" t="s">
        <v>238</v>
      </c>
      <c r="B12" s="270">
        <v>318</v>
      </c>
      <c r="C12" s="271">
        <v>54</v>
      </c>
      <c r="D12" s="271">
        <v>86</v>
      </c>
      <c r="E12" s="271"/>
      <c r="F12" s="271">
        <v>170</v>
      </c>
      <c r="G12" s="272">
        <v>8</v>
      </c>
      <c r="H12" s="250"/>
      <c r="I12" s="251"/>
      <c r="J12" s="248"/>
      <c r="K12" s="248"/>
      <c r="L12" s="249"/>
      <c r="M12" s="252"/>
    </row>
    <row r="13" spans="1:19" ht="33.75" customHeight="1" x14ac:dyDescent="0.25">
      <c r="A13" s="253" t="s">
        <v>240</v>
      </c>
      <c r="B13" s="119">
        <v>100</v>
      </c>
      <c r="C13" s="119">
        <v>16.98</v>
      </c>
      <c r="D13" s="119">
        <v>27.04</v>
      </c>
      <c r="E13" s="119"/>
      <c r="F13" s="119">
        <v>53.46</v>
      </c>
      <c r="G13" s="273">
        <v>2.52</v>
      </c>
      <c r="H13" s="254"/>
      <c r="I13" s="138"/>
      <c r="J13" s="57"/>
      <c r="K13" s="57"/>
      <c r="L13" s="57"/>
      <c r="M13" s="255"/>
    </row>
    <row r="14" spans="1:19" ht="32.25" customHeight="1" x14ac:dyDescent="0.25">
      <c r="A14" s="256" t="s">
        <v>226</v>
      </c>
      <c r="B14" s="228">
        <f t="shared" ref="B14:G15" si="4">+B9-B12</f>
        <v>-16.329999999999984</v>
      </c>
      <c r="C14" s="228">
        <f t="shared" si="4"/>
        <v>-2.0899999999999963</v>
      </c>
      <c r="D14" s="228">
        <f t="shared" si="4"/>
        <v>1.5200000000000102</v>
      </c>
      <c r="E14" s="228">
        <f t="shared" si="4"/>
        <v>0</v>
      </c>
      <c r="F14" s="228">
        <f t="shared" si="4"/>
        <v>-14.349999999999994</v>
      </c>
      <c r="G14" s="274">
        <f t="shared" si="4"/>
        <v>-1.4100000000000001</v>
      </c>
      <c r="H14" s="258"/>
      <c r="I14" s="259"/>
      <c r="J14" s="257"/>
      <c r="K14" s="257"/>
      <c r="L14" s="257"/>
      <c r="M14" s="260"/>
    </row>
    <row r="15" spans="1:19" ht="39" customHeight="1" thickBot="1" x14ac:dyDescent="0.3">
      <c r="A15" s="261" t="s">
        <v>239</v>
      </c>
      <c r="B15" s="275">
        <f t="shared" si="4"/>
        <v>0</v>
      </c>
      <c r="C15" s="275">
        <f t="shared" si="4"/>
        <v>0.22754466801471906</v>
      </c>
      <c r="D15" s="275">
        <f t="shared" si="4"/>
        <v>1.9718341233798533</v>
      </c>
      <c r="E15" s="275">
        <f t="shared" si="4"/>
        <v>0</v>
      </c>
      <c r="F15" s="275">
        <f t="shared" si="4"/>
        <v>-1.8638850399443072</v>
      </c>
      <c r="G15" s="276">
        <f t="shared" si="4"/>
        <v>-0.33549375145026028</v>
      </c>
      <c r="H15" s="263"/>
      <c r="I15" s="264"/>
      <c r="J15" s="262"/>
      <c r="K15" s="262"/>
      <c r="L15" s="262"/>
      <c r="M15" s="265"/>
    </row>
    <row r="16" spans="1:19" x14ac:dyDescent="0.25">
      <c r="A16" s="156" t="s">
        <v>241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3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7" zoomScaleNormal="100" zoomScaleSheetLayoutView="100" workbookViewId="0">
      <selection activeCell="A25" sqref="A25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88" t="s">
        <v>227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 ht="16.5" thickBot="1" x14ac:dyDescent="0.3">
      <c r="A2" s="186" t="s">
        <v>219</v>
      </c>
      <c r="B2" s="186"/>
      <c r="C2" s="279"/>
      <c r="D2" s="279"/>
      <c r="E2" s="279"/>
      <c r="F2" s="279"/>
      <c r="G2" s="279"/>
      <c r="H2" s="279"/>
      <c r="I2" s="279"/>
      <c r="J2" s="279"/>
      <c r="K2" s="279"/>
    </row>
    <row r="3" spans="1:11" x14ac:dyDescent="0.25">
      <c r="A3" s="502" t="s">
        <v>30</v>
      </c>
      <c r="B3" s="498" t="s">
        <v>65</v>
      </c>
      <c r="C3" s="504" t="s">
        <v>213</v>
      </c>
      <c r="D3" s="493" t="s">
        <v>66</v>
      </c>
      <c r="E3" s="494"/>
      <c r="F3" s="495"/>
      <c r="G3" s="500" t="s">
        <v>67</v>
      </c>
      <c r="H3" s="504" t="s">
        <v>213</v>
      </c>
      <c r="I3" s="493" t="s">
        <v>68</v>
      </c>
      <c r="J3" s="494"/>
      <c r="K3" s="495"/>
    </row>
    <row r="4" spans="1:11" ht="26.25" thickBot="1" x14ac:dyDescent="0.3">
      <c r="A4" s="503"/>
      <c r="B4" s="499"/>
      <c r="C4" s="505"/>
      <c r="D4" s="280" t="s">
        <v>14</v>
      </c>
      <c r="E4" s="280" t="s">
        <v>15</v>
      </c>
      <c r="F4" s="281" t="s">
        <v>16</v>
      </c>
      <c r="G4" s="501"/>
      <c r="H4" s="505"/>
      <c r="I4" s="280" t="s">
        <v>14</v>
      </c>
      <c r="J4" s="280" t="s">
        <v>15</v>
      </c>
      <c r="K4" s="281" t="s">
        <v>16</v>
      </c>
    </row>
    <row r="5" spans="1:11" x14ac:dyDescent="0.25">
      <c r="A5" s="189" t="s">
        <v>249</v>
      </c>
      <c r="B5" s="194">
        <v>7</v>
      </c>
      <c r="C5" s="194">
        <v>3</v>
      </c>
      <c r="D5" s="194">
        <v>21</v>
      </c>
      <c r="E5" s="194">
        <v>0</v>
      </c>
      <c r="F5" s="194">
        <v>7</v>
      </c>
      <c r="G5" s="283">
        <v>1</v>
      </c>
      <c r="H5" s="284">
        <v>0</v>
      </c>
      <c r="I5" s="195">
        <v>0</v>
      </c>
      <c r="J5" s="194">
        <v>0</v>
      </c>
      <c r="K5" s="194">
        <v>161</v>
      </c>
    </row>
    <row r="6" spans="1:11" x14ac:dyDescent="0.25">
      <c r="A6" s="189" t="s">
        <v>251</v>
      </c>
      <c r="B6" s="285">
        <v>6</v>
      </c>
      <c r="C6" s="285">
        <v>4</v>
      </c>
      <c r="D6" s="285">
        <v>26</v>
      </c>
      <c r="E6" s="285">
        <v>0</v>
      </c>
      <c r="F6" s="285">
        <v>0</v>
      </c>
      <c r="G6" s="284">
        <v>7</v>
      </c>
      <c r="H6" s="284">
        <v>3</v>
      </c>
      <c r="I6" s="195">
        <v>21</v>
      </c>
      <c r="J6" s="285">
        <v>0</v>
      </c>
      <c r="K6" s="285">
        <v>2</v>
      </c>
    </row>
    <row r="7" spans="1:11" x14ac:dyDescent="0.25">
      <c r="A7" s="189" t="s">
        <v>442</v>
      </c>
      <c r="B7" s="285">
        <v>10</v>
      </c>
      <c r="C7" s="285">
        <v>5</v>
      </c>
      <c r="D7" s="285">
        <v>23</v>
      </c>
      <c r="E7" s="285">
        <v>0</v>
      </c>
      <c r="F7" s="285">
        <v>40</v>
      </c>
      <c r="G7" s="284">
        <v>3</v>
      </c>
      <c r="H7" s="284">
        <v>1</v>
      </c>
      <c r="I7" s="284">
        <v>8</v>
      </c>
      <c r="J7" s="285">
        <v>0</v>
      </c>
      <c r="K7" s="285">
        <v>0</v>
      </c>
    </row>
    <row r="8" spans="1:11" x14ac:dyDescent="0.25">
      <c r="A8" s="57" t="s">
        <v>583</v>
      </c>
      <c r="B8" s="196">
        <v>1</v>
      </c>
      <c r="C8" s="196">
        <v>0</v>
      </c>
      <c r="D8" s="196">
        <v>5</v>
      </c>
      <c r="E8" s="196">
        <v>0</v>
      </c>
      <c r="F8" s="196">
        <v>0</v>
      </c>
      <c r="G8" s="197">
        <v>0</v>
      </c>
      <c r="H8" s="197">
        <v>0</v>
      </c>
      <c r="I8" s="197">
        <v>0</v>
      </c>
      <c r="J8" s="196">
        <v>0</v>
      </c>
      <c r="K8" s="196">
        <v>0</v>
      </c>
    </row>
    <row r="9" spans="1:11" x14ac:dyDescent="0.25">
      <c r="A9" s="57" t="s">
        <v>260</v>
      </c>
      <c r="B9" s="196">
        <v>0</v>
      </c>
      <c r="C9" s="196">
        <v>0</v>
      </c>
      <c r="D9" s="196">
        <v>0</v>
      </c>
      <c r="E9" s="196">
        <v>0</v>
      </c>
      <c r="F9" s="196">
        <v>0</v>
      </c>
      <c r="G9" s="197">
        <v>0</v>
      </c>
      <c r="H9" s="197">
        <v>0</v>
      </c>
      <c r="I9" s="197">
        <v>0</v>
      </c>
      <c r="J9" s="196">
        <v>0</v>
      </c>
      <c r="K9" s="196">
        <v>0</v>
      </c>
    </row>
    <row r="10" spans="1:11" ht="16.5" thickBot="1" x14ac:dyDescent="0.3">
      <c r="A10" s="81" t="s">
        <v>584</v>
      </c>
      <c r="B10" s="196">
        <v>3</v>
      </c>
      <c r="C10" s="196">
        <v>3</v>
      </c>
      <c r="D10" s="196">
        <v>10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6">
        <v>0</v>
      </c>
      <c r="K10" s="196">
        <v>0</v>
      </c>
    </row>
    <row r="11" spans="1:11" ht="18" customHeight="1" thickBot="1" x14ac:dyDescent="0.3">
      <c r="A11" s="286" t="s">
        <v>34</v>
      </c>
      <c r="B11" s="287">
        <f>SUM(B5:B10)</f>
        <v>27</v>
      </c>
      <c r="C11" s="144">
        <f>SUM(C5:C10)</f>
        <v>15</v>
      </c>
      <c r="D11" s="144">
        <f>SUM(D5:D10)</f>
        <v>85</v>
      </c>
      <c r="E11" s="144">
        <f t="shared" ref="E11:K11" si="0">SUM(E5:E10)</f>
        <v>0</v>
      </c>
      <c r="F11" s="145">
        <f t="shared" si="0"/>
        <v>47</v>
      </c>
      <c r="G11" s="288">
        <f t="shared" si="0"/>
        <v>11</v>
      </c>
      <c r="H11" s="144">
        <f t="shared" si="0"/>
        <v>4</v>
      </c>
      <c r="I11" s="144">
        <f t="shared" si="0"/>
        <v>29</v>
      </c>
      <c r="J11" s="144">
        <f t="shared" si="0"/>
        <v>0</v>
      </c>
      <c r="K11" s="145">
        <f t="shared" si="0"/>
        <v>163</v>
      </c>
    </row>
    <row r="12" spans="1:11" x14ac:dyDescent="0.25">
      <c r="A12" s="124"/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16.5" thickBot="1" x14ac:dyDescent="0.3">
      <c r="A13" s="282" t="s">
        <v>212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x14ac:dyDescent="0.25">
      <c r="A14" s="489" t="s">
        <v>30</v>
      </c>
      <c r="B14" s="498" t="s">
        <v>65</v>
      </c>
      <c r="C14" s="491" t="s">
        <v>65</v>
      </c>
      <c r="D14" s="493" t="s">
        <v>66</v>
      </c>
      <c r="E14" s="494"/>
      <c r="F14" s="495"/>
      <c r="G14" s="500" t="s">
        <v>67</v>
      </c>
      <c r="H14" s="496" t="s">
        <v>67</v>
      </c>
      <c r="I14" s="493" t="s">
        <v>68</v>
      </c>
      <c r="J14" s="494"/>
      <c r="K14" s="495"/>
    </row>
    <row r="15" spans="1:11" ht="26.25" thickBot="1" x14ac:dyDescent="0.3">
      <c r="A15" s="490"/>
      <c r="B15" s="499"/>
      <c r="C15" s="492"/>
      <c r="D15" s="280" t="s">
        <v>14</v>
      </c>
      <c r="E15" s="280" t="s">
        <v>15</v>
      </c>
      <c r="F15" s="281" t="s">
        <v>16</v>
      </c>
      <c r="G15" s="501"/>
      <c r="H15" s="497"/>
      <c r="I15" s="280" t="s">
        <v>14</v>
      </c>
      <c r="J15" s="280" t="s">
        <v>15</v>
      </c>
      <c r="K15" s="281" t="s">
        <v>16</v>
      </c>
    </row>
    <row r="16" spans="1:11" x14ac:dyDescent="0.25">
      <c r="A16" s="189" t="s">
        <v>249</v>
      </c>
      <c r="B16" s="194">
        <v>3</v>
      </c>
      <c r="C16" s="194">
        <v>1</v>
      </c>
      <c r="D16" s="194">
        <v>16</v>
      </c>
      <c r="E16" s="195">
        <v>0</v>
      </c>
      <c r="F16" s="195">
        <v>8</v>
      </c>
      <c r="G16" s="283">
        <v>5</v>
      </c>
      <c r="H16" s="284">
        <v>3</v>
      </c>
      <c r="I16" s="195">
        <v>10</v>
      </c>
      <c r="J16" s="195">
        <v>0</v>
      </c>
      <c r="K16" s="195">
        <v>37</v>
      </c>
    </row>
    <row r="17" spans="1:11" x14ac:dyDescent="0.25">
      <c r="A17" s="189" t="s">
        <v>251</v>
      </c>
      <c r="B17" s="285">
        <v>0</v>
      </c>
      <c r="C17" s="285">
        <v>0</v>
      </c>
      <c r="D17" s="285">
        <v>0</v>
      </c>
      <c r="E17" s="284">
        <v>0</v>
      </c>
      <c r="F17" s="284">
        <v>0</v>
      </c>
      <c r="G17" s="284">
        <v>9</v>
      </c>
      <c r="H17" s="284">
        <v>4</v>
      </c>
      <c r="I17" s="195">
        <v>30</v>
      </c>
      <c r="J17" s="284">
        <v>90</v>
      </c>
      <c r="K17" s="284">
        <v>5</v>
      </c>
    </row>
    <row r="18" spans="1:11" x14ac:dyDescent="0.25">
      <c r="A18" s="189" t="s">
        <v>442</v>
      </c>
      <c r="B18" s="285">
        <v>7</v>
      </c>
      <c r="C18" s="285">
        <v>4</v>
      </c>
      <c r="D18" s="285">
        <v>21</v>
      </c>
      <c r="E18" s="284">
        <v>0</v>
      </c>
      <c r="F18" s="284">
        <v>7</v>
      </c>
      <c r="G18" s="284">
        <v>4</v>
      </c>
      <c r="H18" s="284">
        <v>1</v>
      </c>
      <c r="I18" s="284">
        <v>12</v>
      </c>
      <c r="J18" s="284">
        <v>0</v>
      </c>
      <c r="K18" s="284">
        <v>0</v>
      </c>
    </row>
    <row r="19" spans="1:11" x14ac:dyDescent="0.25">
      <c r="A19" s="57" t="s">
        <v>583</v>
      </c>
      <c r="B19" s="196">
        <v>4</v>
      </c>
      <c r="C19" s="196">
        <v>3</v>
      </c>
      <c r="D19" s="196">
        <v>17</v>
      </c>
      <c r="E19" s="197">
        <v>0</v>
      </c>
      <c r="F19" s="197">
        <v>0</v>
      </c>
      <c r="G19" s="197">
        <v>4</v>
      </c>
      <c r="H19" s="197">
        <v>3</v>
      </c>
      <c r="I19" s="197">
        <v>22</v>
      </c>
      <c r="J19" s="197">
        <v>0</v>
      </c>
      <c r="K19" s="197">
        <v>0</v>
      </c>
    </row>
    <row r="20" spans="1:11" x14ac:dyDescent="0.25">
      <c r="A20" s="57" t="s">
        <v>260</v>
      </c>
      <c r="B20" s="196">
        <v>2</v>
      </c>
      <c r="C20" s="196">
        <v>1</v>
      </c>
      <c r="D20" s="196">
        <v>32</v>
      </c>
      <c r="E20" s="197">
        <v>0</v>
      </c>
      <c r="F20" s="197">
        <v>0</v>
      </c>
      <c r="G20" s="197">
        <v>2</v>
      </c>
      <c r="H20" s="283">
        <v>2</v>
      </c>
      <c r="I20" s="197">
        <v>4</v>
      </c>
      <c r="J20" s="197">
        <v>0</v>
      </c>
      <c r="K20" s="197">
        <v>0</v>
      </c>
    </row>
    <row r="21" spans="1:11" ht="16.5" thickBot="1" x14ac:dyDescent="0.3">
      <c r="A21" s="81" t="s">
        <v>584</v>
      </c>
      <c r="B21" s="196">
        <v>0</v>
      </c>
      <c r="C21" s="196">
        <v>0</v>
      </c>
      <c r="D21" s="196">
        <v>0</v>
      </c>
      <c r="E21" s="197">
        <v>0</v>
      </c>
      <c r="F21" s="197">
        <v>0</v>
      </c>
      <c r="G21" s="197">
        <v>2</v>
      </c>
      <c r="H21" s="197">
        <v>1</v>
      </c>
      <c r="I21" s="197">
        <v>10</v>
      </c>
      <c r="J21" s="197">
        <v>0</v>
      </c>
      <c r="K21" s="197">
        <v>0</v>
      </c>
    </row>
    <row r="22" spans="1:11" ht="16.5" thickBot="1" x14ac:dyDescent="0.3">
      <c r="A22" s="286" t="s">
        <v>34</v>
      </c>
      <c r="B22" s="287">
        <f>SUM(B16:B21)</f>
        <v>16</v>
      </c>
      <c r="C22" s="144">
        <f>SUM(C16:C21)</f>
        <v>9</v>
      </c>
      <c r="D22" s="144">
        <f t="shared" ref="D22:K22" si="1">SUM(D16:D21)</f>
        <v>86</v>
      </c>
      <c r="E22" s="144">
        <f t="shared" si="1"/>
        <v>0</v>
      </c>
      <c r="F22" s="145">
        <f t="shared" si="1"/>
        <v>15</v>
      </c>
      <c r="G22" s="287">
        <f t="shared" si="1"/>
        <v>26</v>
      </c>
      <c r="H22" s="144">
        <f t="shared" si="1"/>
        <v>14</v>
      </c>
      <c r="I22" s="144">
        <f t="shared" si="1"/>
        <v>88</v>
      </c>
      <c r="J22" s="144">
        <f t="shared" si="1"/>
        <v>90</v>
      </c>
      <c r="K22" s="145">
        <f t="shared" si="1"/>
        <v>42</v>
      </c>
    </row>
    <row r="23" spans="1:11" ht="16.5" thickBot="1" x14ac:dyDescent="0.3">
      <c r="A23" s="116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18.75" customHeight="1" x14ac:dyDescent="0.25">
      <c r="A24" s="302" t="s">
        <v>142</v>
      </c>
      <c r="B24" s="303">
        <f t="shared" ref="B24:K24" si="2">+B11-B22</f>
        <v>11</v>
      </c>
      <c r="C24" s="304">
        <f t="shared" si="2"/>
        <v>6</v>
      </c>
      <c r="D24" s="304">
        <f t="shared" si="2"/>
        <v>-1</v>
      </c>
      <c r="E24" s="304">
        <f t="shared" si="2"/>
        <v>0</v>
      </c>
      <c r="F24" s="305">
        <f t="shared" si="2"/>
        <v>32</v>
      </c>
      <c r="G24" s="303">
        <f t="shared" si="2"/>
        <v>-15</v>
      </c>
      <c r="H24" s="304">
        <f t="shared" si="2"/>
        <v>-10</v>
      </c>
      <c r="I24" s="304">
        <f t="shared" si="2"/>
        <v>-59</v>
      </c>
      <c r="J24" s="304">
        <f t="shared" si="2"/>
        <v>-90</v>
      </c>
      <c r="K24" s="305">
        <f t="shared" si="2"/>
        <v>121</v>
      </c>
    </row>
    <row r="25" spans="1:11" ht="20.25" customHeight="1" thickBot="1" x14ac:dyDescent="0.3">
      <c r="A25" s="306" t="s">
        <v>130</v>
      </c>
      <c r="B25" s="307">
        <f t="shared" ref="B25:K25" si="3">+IFERROR(B24/B22,0)*100</f>
        <v>68.75</v>
      </c>
      <c r="C25" s="308">
        <f t="shared" si="3"/>
        <v>66.666666666666657</v>
      </c>
      <c r="D25" s="308">
        <f t="shared" si="3"/>
        <v>-1.1627906976744187</v>
      </c>
      <c r="E25" s="308">
        <f t="shared" si="3"/>
        <v>0</v>
      </c>
      <c r="F25" s="309">
        <f t="shared" si="3"/>
        <v>213.33333333333334</v>
      </c>
      <c r="G25" s="307">
        <f t="shared" si="3"/>
        <v>-57.692307692307686</v>
      </c>
      <c r="H25" s="308">
        <f t="shared" si="3"/>
        <v>-71.428571428571431</v>
      </c>
      <c r="I25" s="308">
        <f t="shared" si="3"/>
        <v>-67.045454545454547</v>
      </c>
      <c r="J25" s="308">
        <f t="shared" si="3"/>
        <v>-100</v>
      </c>
      <c r="K25" s="309">
        <f t="shared" si="3"/>
        <v>288.09523809523807</v>
      </c>
    </row>
    <row r="26" spans="1:11" x14ac:dyDescent="0.25">
      <c r="J26" s="11"/>
      <c r="K26" s="11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D2" sqref="D2"/>
    </sheetView>
  </sheetViews>
  <sheetFormatPr defaultRowHeight="15.75" x14ac:dyDescent="0.25"/>
  <cols>
    <col min="1" max="1" width="12.625" customWidth="1"/>
    <col min="2" max="2" width="12.375" customWidth="1"/>
    <col min="3" max="3" width="10.25" customWidth="1"/>
    <col min="4" max="4" width="9.875" customWidth="1"/>
    <col min="5" max="5" width="10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1.375" customWidth="1"/>
    <col min="11" max="11" width="10" customWidth="1"/>
  </cols>
  <sheetData>
    <row r="1" spans="1:12" ht="45" customHeight="1" x14ac:dyDescent="0.25">
      <c r="A1" s="445" t="s">
        <v>228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2" ht="86.25" customHeight="1" x14ac:dyDescent="0.25">
      <c r="A2" s="65" t="s">
        <v>69</v>
      </c>
      <c r="B2" s="65" t="s">
        <v>70</v>
      </c>
      <c r="C2" s="65" t="s">
        <v>237</v>
      </c>
      <c r="D2" s="65" t="s">
        <v>236</v>
      </c>
      <c r="E2" s="65" t="s">
        <v>237</v>
      </c>
      <c r="F2" s="65" t="s">
        <v>119</v>
      </c>
      <c r="G2" s="65" t="s">
        <v>213</v>
      </c>
      <c r="H2" s="65" t="s">
        <v>120</v>
      </c>
      <c r="I2" s="65" t="s">
        <v>213</v>
      </c>
      <c r="J2" s="65" t="s">
        <v>121</v>
      </c>
      <c r="K2" s="65" t="s">
        <v>213</v>
      </c>
      <c r="L2" s="1"/>
    </row>
    <row r="3" spans="1:12" ht="21" customHeight="1" x14ac:dyDescent="0.25">
      <c r="A3" s="59" t="s">
        <v>138</v>
      </c>
      <c r="B3" s="58">
        <f>SUM(167+148+246+26+229)</f>
        <v>816</v>
      </c>
      <c r="C3" s="58">
        <f>SUM(128+98+227+14+206)</f>
        <v>673</v>
      </c>
      <c r="D3" s="58">
        <f>SUM(163+131+173+26+209)</f>
        <v>702</v>
      </c>
      <c r="E3" s="58">
        <f>SUM(128+85+162+14+192)</f>
        <v>581</v>
      </c>
      <c r="F3" s="58">
        <f>SUM(63+33+80+16+64)</f>
        <v>256</v>
      </c>
      <c r="G3" s="58">
        <f>SUM(29+12+45+8+46)</f>
        <v>140</v>
      </c>
      <c r="H3" s="58">
        <f>SUM(3+2+16)</f>
        <v>21</v>
      </c>
      <c r="I3" s="58">
        <f>SUM(2+1+11)</f>
        <v>14</v>
      </c>
      <c r="J3" s="58">
        <f>SUM(1+27)</f>
        <v>28</v>
      </c>
      <c r="K3" s="58">
        <f>SUM(1+22)</f>
        <v>23</v>
      </c>
    </row>
    <row r="4" spans="1:12" ht="24.75" customHeight="1" x14ac:dyDescent="0.25">
      <c r="A4" s="59" t="s">
        <v>139</v>
      </c>
      <c r="B4" s="58">
        <f>SUM(137+198+188+53+188)</f>
        <v>764</v>
      </c>
      <c r="C4" s="58">
        <f>SUM(103+106+170+37+149)</f>
        <v>565</v>
      </c>
      <c r="D4" s="58">
        <f>SUM(132+190+162+53+157)</f>
        <v>694</v>
      </c>
      <c r="E4" s="58">
        <f>SUM(100+103+147+37+146)</f>
        <v>533</v>
      </c>
      <c r="F4" s="58">
        <f>SUM(49+31+76+18+60)</f>
        <v>234</v>
      </c>
      <c r="G4" s="58">
        <f>SUM(23+12+43+5+40)</f>
        <v>123</v>
      </c>
      <c r="H4" s="58">
        <f>SUM(1+12)</f>
        <v>13</v>
      </c>
      <c r="I4" s="58">
        <f>SUM(12)</f>
        <v>12</v>
      </c>
      <c r="J4" s="58">
        <f>SUM(2+37)</f>
        <v>39</v>
      </c>
      <c r="K4" s="58">
        <f>SUM(1+27)</f>
        <v>28</v>
      </c>
    </row>
    <row r="5" spans="1:12" ht="19.5" customHeight="1" x14ac:dyDescent="0.25">
      <c r="A5" s="59" t="s">
        <v>140</v>
      </c>
      <c r="B5" s="58">
        <f>SUM(15+21+9+3+20)</f>
        <v>68</v>
      </c>
      <c r="C5" s="58">
        <f>SUM(7+11+8+15)</f>
        <v>41</v>
      </c>
      <c r="D5" s="58">
        <f>SUM(15+20+9+3+17)</f>
        <v>64</v>
      </c>
      <c r="E5" s="58">
        <f>SUM(7+10+8+13)</f>
        <v>38</v>
      </c>
      <c r="F5" s="58">
        <f>SUM(13+12+8+2+10)</f>
        <v>45</v>
      </c>
      <c r="G5" s="58">
        <f>SUM(4+5+1+1+9)</f>
        <v>20</v>
      </c>
      <c r="H5" s="58">
        <v>0</v>
      </c>
      <c r="I5" s="58">
        <v>0</v>
      </c>
      <c r="J5" s="58">
        <v>5</v>
      </c>
      <c r="K5" s="58">
        <v>2</v>
      </c>
    </row>
    <row r="6" spans="1:12" ht="21" customHeight="1" x14ac:dyDescent="0.25">
      <c r="A6" s="59" t="s">
        <v>141</v>
      </c>
      <c r="B6" s="58">
        <f>SUM(9+161+9+10)</f>
        <v>189</v>
      </c>
      <c r="C6" s="58">
        <f>SUM(6+106+7+7)</f>
        <v>126</v>
      </c>
      <c r="D6" s="58">
        <f>SUM(6+141+9+10)</f>
        <v>166</v>
      </c>
      <c r="E6" s="58">
        <f>SUM(5+99+7+9)</f>
        <v>120</v>
      </c>
      <c r="F6" s="58">
        <f>SUM(7+5+1)</f>
        <v>13</v>
      </c>
      <c r="G6" s="58">
        <f>SUM(2+4+1)</f>
        <v>7</v>
      </c>
      <c r="H6" s="58">
        <v>0</v>
      </c>
      <c r="I6" s="58">
        <v>0</v>
      </c>
      <c r="J6" s="58">
        <v>0</v>
      </c>
      <c r="K6" s="58">
        <v>0</v>
      </c>
    </row>
    <row r="7" spans="1:12" ht="18.75" customHeight="1" x14ac:dyDescent="0.25">
      <c r="A7" s="365" t="s">
        <v>34</v>
      </c>
      <c r="B7" s="366">
        <f>SUM(B3:B6)</f>
        <v>1837</v>
      </c>
      <c r="C7" s="366">
        <f t="shared" ref="C7:K7" si="0">SUM(C3:C6)</f>
        <v>1405</v>
      </c>
      <c r="D7" s="366">
        <f t="shared" si="0"/>
        <v>1626</v>
      </c>
      <c r="E7" s="366">
        <f t="shared" si="0"/>
        <v>1272</v>
      </c>
      <c r="F7" s="366">
        <f t="shared" si="0"/>
        <v>548</v>
      </c>
      <c r="G7" s="366">
        <f t="shared" si="0"/>
        <v>290</v>
      </c>
      <c r="H7" s="366">
        <f t="shared" si="0"/>
        <v>34</v>
      </c>
      <c r="I7" s="366">
        <f t="shared" si="0"/>
        <v>26</v>
      </c>
      <c r="J7" s="366">
        <f t="shared" si="0"/>
        <v>72</v>
      </c>
      <c r="K7" s="366">
        <f t="shared" si="0"/>
        <v>53</v>
      </c>
    </row>
    <row r="8" spans="1:12" x14ac:dyDescent="0.25">
      <c r="H8" s="11"/>
      <c r="I8" s="11"/>
      <c r="J8" s="11"/>
      <c r="K8" s="11"/>
    </row>
    <row r="9" spans="1:12" x14ac:dyDescent="0.25">
      <c r="A9" s="11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3" zoomScaleNormal="100" zoomScaleSheetLayoutView="100" workbookViewId="0">
      <selection activeCell="A12" sqref="A12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s="174" customFormat="1" ht="32.25" customHeight="1" x14ac:dyDescent="0.2">
      <c r="A1" s="488" t="s">
        <v>229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 ht="17.25" customHeight="1" thickBot="1" x14ac:dyDescent="0.3">
      <c r="A2" s="310" t="s">
        <v>230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</row>
    <row r="3" spans="1:11" ht="81.75" customHeight="1" thickBot="1" x14ac:dyDescent="0.3">
      <c r="A3" s="312" t="s">
        <v>71</v>
      </c>
      <c r="B3" s="148" t="s">
        <v>5</v>
      </c>
      <c r="C3" s="148" t="s">
        <v>6</v>
      </c>
      <c r="D3" s="313" t="s">
        <v>7</v>
      </c>
      <c r="E3" s="148" t="s">
        <v>8</v>
      </c>
      <c r="F3" s="148" t="s">
        <v>9</v>
      </c>
      <c r="G3" s="148" t="s">
        <v>10</v>
      </c>
      <c r="H3" s="314" t="s">
        <v>178</v>
      </c>
      <c r="I3" s="314" t="s">
        <v>179</v>
      </c>
      <c r="J3" s="313" t="s">
        <v>72</v>
      </c>
      <c r="K3" s="315" t="s">
        <v>34</v>
      </c>
    </row>
    <row r="4" spans="1:11" ht="16.5" thickBot="1" x14ac:dyDescent="0.3">
      <c r="A4" s="316" t="s">
        <v>249</v>
      </c>
      <c r="B4" s="235">
        <v>50</v>
      </c>
      <c r="C4" s="235">
        <v>27</v>
      </c>
      <c r="D4" s="235">
        <v>10</v>
      </c>
      <c r="E4" s="235">
        <v>2</v>
      </c>
      <c r="F4" s="235">
        <v>9</v>
      </c>
      <c r="G4" s="235">
        <v>0</v>
      </c>
      <c r="H4" s="319">
        <v>2</v>
      </c>
      <c r="I4" s="235">
        <v>1</v>
      </c>
      <c r="J4" s="319">
        <v>260</v>
      </c>
      <c r="K4" s="235">
        <v>361</v>
      </c>
    </row>
    <row r="5" spans="1:11" ht="16.5" thickBot="1" x14ac:dyDescent="0.3">
      <c r="A5" s="317" t="s">
        <v>251</v>
      </c>
      <c r="B5" s="236">
        <v>23</v>
      </c>
      <c r="C5" s="236">
        <v>29</v>
      </c>
      <c r="D5" s="236">
        <v>18</v>
      </c>
      <c r="E5" s="236">
        <v>15</v>
      </c>
      <c r="F5" s="236">
        <v>2</v>
      </c>
      <c r="G5" s="236">
        <v>0</v>
      </c>
      <c r="H5" s="233">
        <v>13</v>
      </c>
      <c r="I5" s="236">
        <v>0</v>
      </c>
      <c r="J5" s="233">
        <v>328</v>
      </c>
      <c r="K5" s="236">
        <v>428</v>
      </c>
    </row>
    <row r="6" spans="1:11" ht="16.5" thickBot="1" x14ac:dyDescent="0.3">
      <c r="A6" s="317" t="s">
        <v>442</v>
      </c>
      <c r="B6" s="236">
        <v>9</v>
      </c>
      <c r="C6" s="236">
        <v>15</v>
      </c>
      <c r="D6" s="236">
        <v>13</v>
      </c>
      <c r="E6" s="236">
        <v>14</v>
      </c>
      <c r="F6" s="236">
        <v>0</v>
      </c>
      <c r="G6" s="236">
        <v>0</v>
      </c>
      <c r="H6" s="233">
        <v>9</v>
      </c>
      <c r="I6" s="236">
        <v>0</v>
      </c>
      <c r="J6" s="233">
        <v>244</v>
      </c>
      <c r="K6" s="236">
        <v>304</v>
      </c>
    </row>
    <row r="7" spans="1:11" ht="16.5" thickBot="1" x14ac:dyDescent="0.3">
      <c r="A7" s="317" t="s">
        <v>583</v>
      </c>
      <c r="B7" s="236">
        <v>22</v>
      </c>
      <c r="C7" s="236">
        <v>18</v>
      </c>
      <c r="D7" s="236">
        <v>33</v>
      </c>
      <c r="E7" s="236">
        <v>0</v>
      </c>
      <c r="F7" s="236">
        <v>0</v>
      </c>
      <c r="G7" s="236">
        <v>0</v>
      </c>
      <c r="H7" s="233">
        <v>0</v>
      </c>
      <c r="I7" s="236">
        <v>0</v>
      </c>
      <c r="J7" s="233">
        <v>137</v>
      </c>
      <c r="K7" s="236">
        <v>210</v>
      </c>
    </row>
    <row r="8" spans="1:11" ht="16.5" thickBot="1" x14ac:dyDescent="0.3">
      <c r="A8" s="317" t="s">
        <v>260</v>
      </c>
      <c r="B8" s="236">
        <v>40</v>
      </c>
      <c r="C8" s="236">
        <v>17</v>
      </c>
      <c r="D8" s="236">
        <v>16</v>
      </c>
      <c r="E8" s="236">
        <v>0</v>
      </c>
      <c r="F8" s="236">
        <v>0</v>
      </c>
      <c r="G8" s="236">
        <v>0</v>
      </c>
      <c r="H8" s="233">
        <v>4</v>
      </c>
      <c r="I8" s="236">
        <v>0</v>
      </c>
      <c r="J8" s="233">
        <v>400</v>
      </c>
      <c r="K8" s="236">
        <v>477</v>
      </c>
    </row>
    <row r="9" spans="1:11" ht="16.5" thickBot="1" x14ac:dyDescent="0.3">
      <c r="A9" s="317" t="s">
        <v>670</v>
      </c>
      <c r="B9" s="236">
        <v>0</v>
      </c>
      <c r="C9" s="236">
        <v>0</v>
      </c>
      <c r="D9" s="236">
        <v>1</v>
      </c>
      <c r="E9" s="236">
        <v>0</v>
      </c>
      <c r="F9" s="236">
        <v>0</v>
      </c>
      <c r="G9" s="236">
        <v>0</v>
      </c>
      <c r="H9" s="233">
        <v>0</v>
      </c>
      <c r="I9" s="236">
        <v>0</v>
      </c>
      <c r="J9" s="233">
        <v>14</v>
      </c>
      <c r="K9" s="236">
        <v>15</v>
      </c>
    </row>
    <row r="10" spans="1:11" ht="19.5" customHeight="1" thickBot="1" x14ac:dyDescent="0.3">
      <c r="A10" s="318" t="s">
        <v>34</v>
      </c>
      <c r="B10" s="320">
        <v>144</v>
      </c>
      <c r="C10" s="320">
        <v>106</v>
      </c>
      <c r="D10" s="320">
        <v>91</v>
      </c>
      <c r="E10" s="320">
        <v>31</v>
      </c>
      <c r="F10" s="320">
        <v>11</v>
      </c>
      <c r="G10" s="320">
        <v>0</v>
      </c>
      <c r="H10" s="321">
        <v>28</v>
      </c>
      <c r="I10" s="320">
        <v>1</v>
      </c>
      <c r="J10" s="321">
        <v>1379</v>
      </c>
      <c r="K10" s="320">
        <v>1791</v>
      </c>
    </row>
    <row r="11" spans="1:11" ht="9.75" hidden="1" customHeight="1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ht="19.5" customHeight="1" thickBot="1" x14ac:dyDescent="0.3">
      <c r="A12" s="310" t="s">
        <v>215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ht="64.5" thickBot="1" x14ac:dyDescent="0.3">
      <c r="A13" s="312" t="s">
        <v>71</v>
      </c>
      <c r="B13" s="148" t="s">
        <v>5</v>
      </c>
      <c r="C13" s="148" t="s">
        <v>6</v>
      </c>
      <c r="D13" s="313" t="s">
        <v>7</v>
      </c>
      <c r="E13" s="148" t="s">
        <v>8</v>
      </c>
      <c r="F13" s="148" t="s">
        <v>9</v>
      </c>
      <c r="G13" s="148" t="s">
        <v>10</v>
      </c>
      <c r="H13" s="148"/>
      <c r="I13" s="148"/>
      <c r="J13" s="313" t="s">
        <v>72</v>
      </c>
      <c r="K13" s="315" t="s">
        <v>34</v>
      </c>
    </row>
    <row r="14" spans="1:11" ht="16.5" thickBot="1" x14ac:dyDescent="0.3">
      <c r="A14" s="316" t="s">
        <v>249</v>
      </c>
      <c r="B14" s="235">
        <v>21</v>
      </c>
      <c r="C14" s="235">
        <v>4</v>
      </c>
      <c r="D14" s="235">
        <v>13</v>
      </c>
      <c r="E14" s="235">
        <v>2</v>
      </c>
      <c r="F14" s="235">
        <v>4</v>
      </c>
      <c r="G14" s="235">
        <v>0</v>
      </c>
      <c r="H14" s="235">
        <v>4</v>
      </c>
      <c r="I14" s="235">
        <v>0</v>
      </c>
      <c r="J14" s="235">
        <v>209</v>
      </c>
      <c r="K14" s="235">
        <v>257</v>
      </c>
    </row>
    <row r="15" spans="1:11" ht="16.5" thickBot="1" x14ac:dyDescent="0.3">
      <c r="A15" s="317" t="s">
        <v>251</v>
      </c>
      <c r="B15" s="236">
        <v>17</v>
      </c>
      <c r="C15" s="236">
        <v>34</v>
      </c>
      <c r="D15" s="236">
        <v>12</v>
      </c>
      <c r="E15" s="236">
        <v>16</v>
      </c>
      <c r="F15" s="236">
        <v>4</v>
      </c>
      <c r="G15" s="236">
        <v>0</v>
      </c>
      <c r="H15" s="236">
        <v>11</v>
      </c>
      <c r="I15" s="236">
        <v>0</v>
      </c>
      <c r="J15" s="236">
        <v>326</v>
      </c>
      <c r="K15" s="236">
        <v>420</v>
      </c>
    </row>
    <row r="16" spans="1:11" ht="16.5" thickBot="1" x14ac:dyDescent="0.3">
      <c r="A16" s="317" t="s">
        <v>442</v>
      </c>
      <c r="B16" s="236">
        <v>5</v>
      </c>
      <c r="C16" s="236">
        <v>4</v>
      </c>
      <c r="D16" s="236">
        <v>12</v>
      </c>
      <c r="E16" s="236">
        <v>12</v>
      </c>
      <c r="F16" s="236">
        <v>0</v>
      </c>
      <c r="G16" s="236">
        <v>0</v>
      </c>
      <c r="H16" s="236">
        <v>2</v>
      </c>
      <c r="I16" s="236">
        <v>1</v>
      </c>
      <c r="J16" s="236">
        <v>261</v>
      </c>
      <c r="K16" s="236">
        <v>297</v>
      </c>
    </row>
    <row r="17" spans="1:11" ht="16.5" thickBot="1" x14ac:dyDescent="0.3">
      <c r="A17" s="317" t="s">
        <v>583</v>
      </c>
      <c r="B17" s="236">
        <v>23</v>
      </c>
      <c r="C17" s="236">
        <v>12</v>
      </c>
      <c r="D17" s="236">
        <v>24</v>
      </c>
      <c r="E17" s="236">
        <v>0</v>
      </c>
      <c r="F17" s="236">
        <v>0</v>
      </c>
      <c r="G17" s="236">
        <v>0</v>
      </c>
      <c r="H17" s="236">
        <v>2</v>
      </c>
      <c r="I17" s="236">
        <v>0</v>
      </c>
      <c r="J17" s="236">
        <v>123</v>
      </c>
      <c r="K17" s="236">
        <v>184</v>
      </c>
    </row>
    <row r="18" spans="1:11" ht="16.5" thickBot="1" x14ac:dyDescent="0.3">
      <c r="A18" s="317" t="s">
        <v>260</v>
      </c>
      <c r="B18" s="236">
        <v>32</v>
      </c>
      <c r="C18" s="236">
        <v>15</v>
      </c>
      <c r="D18" s="236">
        <v>18</v>
      </c>
      <c r="E18" s="236">
        <v>0</v>
      </c>
      <c r="F18" s="236">
        <v>1</v>
      </c>
      <c r="G18" s="236">
        <v>0</v>
      </c>
      <c r="H18" s="236">
        <v>2</v>
      </c>
      <c r="I18" s="236">
        <v>0</v>
      </c>
      <c r="J18" s="236">
        <v>431</v>
      </c>
      <c r="K18" s="236">
        <v>499</v>
      </c>
    </row>
    <row r="19" spans="1:11" ht="16.5" thickBot="1" x14ac:dyDescent="0.3">
      <c r="A19" s="317" t="s">
        <v>670</v>
      </c>
      <c r="B19" s="236">
        <v>2</v>
      </c>
      <c r="C19" s="236">
        <v>0</v>
      </c>
      <c r="D19" s="236">
        <v>1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10</v>
      </c>
      <c r="K19" s="236">
        <v>13</v>
      </c>
    </row>
    <row r="20" spans="1:11" ht="16.5" thickBot="1" x14ac:dyDescent="0.3">
      <c r="A20" s="318" t="s">
        <v>34</v>
      </c>
      <c r="B20" s="320">
        <v>100</v>
      </c>
      <c r="C20" s="320">
        <v>69</v>
      </c>
      <c r="D20" s="320">
        <v>80</v>
      </c>
      <c r="E20" s="320">
        <v>30</v>
      </c>
      <c r="F20" s="320">
        <v>9</v>
      </c>
      <c r="G20" s="320">
        <v>0</v>
      </c>
      <c r="H20" s="320">
        <v>21</v>
      </c>
      <c r="I20" s="320">
        <v>1</v>
      </c>
      <c r="J20" s="320">
        <v>1360</v>
      </c>
      <c r="K20" s="320">
        <v>1670</v>
      </c>
    </row>
    <row r="21" spans="1:11" ht="0.75" customHeight="1" x14ac:dyDescent="0.25">
      <c r="A21" s="124"/>
      <c r="B21" s="123"/>
      <c r="C21" s="123"/>
      <c r="D21" s="123"/>
      <c r="E21" s="123"/>
      <c r="F21" s="123"/>
      <c r="G21" s="123"/>
      <c r="H21" s="123"/>
      <c r="I21" s="123"/>
      <c r="J21" s="123"/>
      <c r="K21" s="123"/>
    </row>
    <row r="22" spans="1:11" ht="17.25" customHeight="1" x14ac:dyDescent="0.25">
      <c r="A22" s="367" t="s">
        <v>142</v>
      </c>
      <c r="B22" s="121">
        <f t="shared" ref="B22:G22" si="0">+B10-B20</f>
        <v>44</v>
      </c>
      <c r="C22" s="121">
        <f t="shared" si="0"/>
        <v>37</v>
      </c>
      <c r="D22" s="121">
        <f t="shared" si="0"/>
        <v>11</v>
      </c>
      <c r="E22" s="121">
        <f t="shared" si="0"/>
        <v>1</v>
      </c>
      <c r="F22" s="121">
        <f t="shared" si="0"/>
        <v>2</v>
      </c>
      <c r="G22" s="121">
        <f t="shared" si="0"/>
        <v>0</v>
      </c>
      <c r="H22" s="121">
        <f>H10-H20</f>
        <v>7</v>
      </c>
      <c r="I22" s="121">
        <f>I10-I20</f>
        <v>0</v>
      </c>
      <c r="J22" s="121">
        <f>+J10-J20</f>
        <v>19</v>
      </c>
      <c r="K22" s="121">
        <f>+K10-K20</f>
        <v>121</v>
      </c>
    </row>
    <row r="23" spans="1:11" ht="18" customHeight="1" x14ac:dyDescent="0.25">
      <c r="A23" s="367" t="s">
        <v>137</v>
      </c>
      <c r="B23" s="160">
        <f t="shared" ref="B23:K23" si="1">+IFERROR(B22/B20,0)*100</f>
        <v>44</v>
      </c>
      <c r="C23" s="160">
        <f t="shared" si="1"/>
        <v>53.623188405797109</v>
      </c>
      <c r="D23" s="160">
        <f t="shared" si="1"/>
        <v>13.750000000000002</v>
      </c>
      <c r="E23" s="160">
        <f t="shared" si="1"/>
        <v>3.3333333333333335</v>
      </c>
      <c r="F23" s="160">
        <f t="shared" si="1"/>
        <v>22.222222222222221</v>
      </c>
      <c r="G23" s="160">
        <f t="shared" si="1"/>
        <v>0</v>
      </c>
      <c r="H23" s="160">
        <f>+IFERROR(H22/H20,0)*100</f>
        <v>33.333333333333329</v>
      </c>
      <c r="I23" s="160">
        <f>+IFERROR(I22/I20,0)*100</f>
        <v>0</v>
      </c>
      <c r="J23" s="160">
        <f t="shared" si="1"/>
        <v>1.3970588235294119</v>
      </c>
      <c r="K23" s="160">
        <f t="shared" si="1"/>
        <v>7.2455089820359282</v>
      </c>
    </row>
    <row r="24" spans="1:11" x14ac:dyDescent="0.25">
      <c r="J24" s="11"/>
      <c r="K24" s="11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A10" zoomScaleNormal="100" zoomScaleSheetLayoutView="100" workbookViewId="0">
      <pane xSplit="18840" topLeftCell="O1"/>
      <selection activeCell="B4" sqref="B4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35" t="s">
        <v>231</v>
      </c>
      <c r="B1" s="435"/>
      <c r="C1" s="435"/>
      <c r="D1" s="435"/>
      <c r="E1" s="14"/>
      <c r="F1" s="14"/>
      <c r="G1" s="14"/>
      <c r="H1" s="14"/>
      <c r="I1" s="14"/>
    </row>
    <row r="2" spans="1:11" ht="19.5" thickBot="1" x14ac:dyDescent="0.35">
      <c r="A2" s="186" t="s">
        <v>230</v>
      </c>
      <c r="B2" s="234"/>
      <c r="C2" s="234"/>
      <c r="D2" s="234"/>
      <c r="E2" s="14"/>
      <c r="F2" s="14"/>
      <c r="G2" s="14"/>
      <c r="H2" s="14"/>
      <c r="I2" s="14"/>
    </row>
    <row r="3" spans="1:11" ht="16.5" thickBot="1" x14ac:dyDescent="0.3">
      <c r="A3" s="239" t="s">
        <v>73</v>
      </c>
      <c r="B3" s="151" t="s">
        <v>11</v>
      </c>
      <c r="C3" s="151" t="s">
        <v>13</v>
      </c>
      <c r="D3" s="136" t="s">
        <v>12</v>
      </c>
      <c r="E3" s="7"/>
      <c r="F3" s="7"/>
      <c r="G3" s="7"/>
      <c r="H3" s="20"/>
      <c r="I3" s="20"/>
      <c r="K3" s="4"/>
    </row>
    <row r="4" spans="1:11" ht="16.5" thickBot="1" x14ac:dyDescent="0.3">
      <c r="A4" s="179" t="s">
        <v>682</v>
      </c>
      <c r="B4" s="235" t="s">
        <v>671</v>
      </c>
      <c r="C4" s="235" t="s">
        <v>672</v>
      </c>
      <c r="D4" s="179"/>
      <c r="E4" s="4"/>
      <c r="F4" s="4"/>
      <c r="G4" s="4"/>
      <c r="H4" s="4"/>
      <c r="I4" s="4"/>
      <c r="K4" s="4"/>
    </row>
    <row r="5" spans="1:11" ht="16.5" thickBot="1" x14ac:dyDescent="0.3">
      <c r="A5" s="179" t="s">
        <v>682</v>
      </c>
      <c r="B5" s="236" t="s">
        <v>673</v>
      </c>
      <c r="C5" s="236" t="s">
        <v>674</v>
      </c>
      <c r="D5" s="57"/>
      <c r="E5" s="4"/>
      <c r="F5" s="4"/>
      <c r="G5" s="4"/>
      <c r="H5" s="4"/>
      <c r="I5" s="4"/>
      <c r="K5" s="5"/>
    </row>
    <row r="6" spans="1:11" ht="16.5" thickBot="1" x14ac:dyDescent="0.3">
      <c r="A6" s="179" t="s">
        <v>682</v>
      </c>
      <c r="B6" s="236" t="s">
        <v>675</v>
      </c>
      <c r="C6" s="236"/>
      <c r="D6" s="57"/>
      <c r="E6" s="4"/>
      <c r="F6" s="4"/>
      <c r="G6" s="4"/>
      <c r="H6" s="4"/>
      <c r="I6" s="4"/>
      <c r="K6" s="5"/>
    </row>
    <row r="7" spans="1:11" ht="16.5" thickBot="1" x14ac:dyDescent="0.3">
      <c r="A7" s="179" t="s">
        <v>682</v>
      </c>
      <c r="B7" s="236" t="s">
        <v>676</v>
      </c>
      <c r="C7" s="236"/>
      <c r="D7" s="57"/>
      <c r="E7" s="4"/>
      <c r="F7" s="4"/>
      <c r="G7" s="4"/>
      <c r="H7" s="4"/>
      <c r="I7" s="4"/>
      <c r="K7" s="5"/>
    </row>
    <row r="8" spans="1:11" ht="16.5" thickBot="1" x14ac:dyDescent="0.3">
      <c r="A8" s="179" t="s">
        <v>682</v>
      </c>
      <c r="B8" s="236" t="s">
        <v>677</v>
      </c>
      <c r="C8" s="236"/>
      <c r="D8" s="57"/>
      <c r="E8" s="4"/>
      <c r="F8" s="4"/>
      <c r="G8" s="4"/>
      <c r="H8" s="4"/>
      <c r="I8" s="4"/>
      <c r="K8" s="5"/>
    </row>
    <row r="9" spans="1:11" ht="16.5" thickBot="1" x14ac:dyDescent="0.3">
      <c r="A9" s="179" t="s">
        <v>682</v>
      </c>
      <c r="B9" s="236" t="s">
        <v>678</v>
      </c>
      <c r="C9" s="236"/>
      <c r="D9" s="57"/>
      <c r="E9" s="4"/>
      <c r="F9" s="4"/>
      <c r="G9" s="4"/>
      <c r="H9" s="4"/>
      <c r="I9" s="4"/>
      <c r="K9" s="5"/>
    </row>
    <row r="10" spans="1:11" ht="16.5" thickBot="1" x14ac:dyDescent="0.3">
      <c r="A10" s="179" t="s">
        <v>682</v>
      </c>
      <c r="B10" s="236" t="s">
        <v>679</v>
      </c>
      <c r="C10" s="236"/>
      <c r="D10" s="57"/>
      <c r="E10" s="4"/>
      <c r="F10" s="4"/>
      <c r="G10" s="4"/>
      <c r="H10" s="4"/>
      <c r="I10" s="4"/>
      <c r="K10" s="5"/>
    </row>
    <row r="11" spans="1:11" ht="16.5" thickBot="1" x14ac:dyDescent="0.3">
      <c r="A11" s="179" t="s">
        <v>682</v>
      </c>
      <c r="B11" s="236" t="s">
        <v>680</v>
      </c>
      <c r="C11" s="236"/>
      <c r="D11" s="57"/>
      <c r="E11" s="4"/>
      <c r="F11" s="4"/>
      <c r="G11" s="4"/>
      <c r="H11" s="4"/>
      <c r="I11" s="4"/>
      <c r="K11" s="5"/>
    </row>
    <row r="12" spans="1:11" ht="16.5" thickBot="1" x14ac:dyDescent="0.3">
      <c r="A12" s="179" t="s">
        <v>682</v>
      </c>
      <c r="B12" s="236" t="s">
        <v>681</v>
      </c>
      <c r="C12" s="236"/>
      <c r="D12" s="57"/>
      <c r="E12" s="4"/>
      <c r="F12" s="4"/>
      <c r="G12" s="4"/>
      <c r="H12" s="4"/>
      <c r="I12" s="4"/>
      <c r="K12" s="5"/>
    </row>
    <row r="13" spans="1:11" x14ac:dyDescent="0.25">
      <c r="A13" s="322" t="s">
        <v>34</v>
      </c>
      <c r="B13" s="142">
        <v>39</v>
      </c>
      <c r="C13" s="142">
        <v>2</v>
      </c>
      <c r="D13" s="322"/>
      <c r="E13" s="4"/>
      <c r="F13" s="4"/>
      <c r="G13" s="4"/>
      <c r="H13" s="4"/>
      <c r="I13" s="4"/>
      <c r="K13" s="5"/>
    </row>
    <row r="14" spans="1:11" x14ac:dyDescent="0.25">
      <c r="A14" s="150"/>
      <c r="B14" s="150"/>
      <c r="C14" s="150"/>
      <c r="D14" s="150"/>
      <c r="E14" s="4"/>
      <c r="F14" s="4"/>
      <c r="G14" s="4"/>
      <c r="H14" s="4"/>
      <c r="I14" s="4"/>
      <c r="K14" s="5"/>
    </row>
    <row r="15" spans="1:11" ht="16.5" thickBot="1" x14ac:dyDescent="0.3">
      <c r="A15" s="186" t="s">
        <v>215</v>
      </c>
      <c r="B15" s="150"/>
      <c r="C15" s="150"/>
      <c r="D15" s="150"/>
      <c r="E15" s="4"/>
      <c r="F15" s="4"/>
      <c r="G15" s="4"/>
      <c r="H15" s="4"/>
      <c r="I15" s="4"/>
      <c r="K15" s="5"/>
    </row>
    <row r="16" spans="1:11" ht="16.5" thickBot="1" x14ac:dyDescent="0.3">
      <c r="A16" s="239" t="s">
        <v>73</v>
      </c>
      <c r="B16" s="151" t="s">
        <v>11</v>
      </c>
      <c r="C16" s="151" t="s">
        <v>13</v>
      </c>
      <c r="D16" s="136" t="s">
        <v>12</v>
      </c>
      <c r="E16" s="4"/>
      <c r="F16" s="4"/>
      <c r="G16" s="4"/>
      <c r="H16" s="4"/>
      <c r="I16" s="4"/>
      <c r="K16" s="5"/>
    </row>
    <row r="17" spans="1:11" ht="16.5" thickBot="1" x14ac:dyDescent="0.3">
      <c r="A17" s="179" t="s">
        <v>251</v>
      </c>
      <c r="B17" s="235" t="s">
        <v>683</v>
      </c>
      <c r="C17" s="235" t="s">
        <v>684</v>
      </c>
      <c r="D17" s="117"/>
      <c r="E17" s="4"/>
      <c r="F17" s="4"/>
      <c r="G17" s="4"/>
      <c r="H17" s="4"/>
      <c r="I17" s="4"/>
      <c r="K17" s="5"/>
    </row>
    <row r="18" spans="1:11" ht="16.5" thickBot="1" x14ac:dyDescent="0.3">
      <c r="A18" s="179" t="s">
        <v>251</v>
      </c>
      <c r="B18" s="236" t="s">
        <v>685</v>
      </c>
      <c r="C18" s="236" t="s">
        <v>686</v>
      </c>
      <c r="D18" s="119"/>
      <c r="E18" s="4"/>
      <c r="F18" s="4"/>
      <c r="G18" s="4"/>
      <c r="H18" s="4"/>
      <c r="I18" s="4"/>
      <c r="K18" s="5"/>
    </row>
    <row r="19" spans="1:11" ht="16.5" thickBot="1" x14ac:dyDescent="0.3">
      <c r="A19" s="179" t="s">
        <v>251</v>
      </c>
      <c r="B19" s="236" t="s">
        <v>687</v>
      </c>
      <c r="C19" s="236" t="s">
        <v>688</v>
      </c>
      <c r="D19" s="119"/>
      <c r="E19" s="4"/>
      <c r="F19" s="4"/>
      <c r="G19" s="4"/>
      <c r="H19" s="4"/>
      <c r="I19" s="4"/>
      <c r="K19" s="5"/>
    </row>
    <row r="20" spans="1:11" ht="16.5" thickBot="1" x14ac:dyDescent="0.3">
      <c r="A20" s="179" t="s">
        <v>251</v>
      </c>
      <c r="B20" s="236" t="s">
        <v>689</v>
      </c>
      <c r="C20" s="236"/>
      <c r="D20" s="119"/>
      <c r="E20" s="4"/>
      <c r="F20" s="4"/>
      <c r="G20" s="4"/>
      <c r="H20" s="4"/>
      <c r="I20" s="4"/>
      <c r="K20" s="5"/>
    </row>
    <row r="21" spans="1:11" ht="16.5" thickBot="1" x14ac:dyDescent="0.3">
      <c r="A21" s="179" t="s">
        <v>251</v>
      </c>
      <c r="B21" s="236" t="s">
        <v>690</v>
      </c>
      <c r="C21" s="236"/>
      <c r="D21" s="119"/>
      <c r="E21" s="4"/>
      <c r="F21" s="4"/>
      <c r="G21" s="4"/>
      <c r="H21" s="4"/>
      <c r="I21" s="4"/>
      <c r="K21" s="5"/>
    </row>
    <row r="22" spans="1:11" x14ac:dyDescent="0.25">
      <c r="A22" s="322" t="s">
        <v>34</v>
      </c>
      <c r="B22" s="142">
        <v>38</v>
      </c>
      <c r="C22" s="142">
        <v>1</v>
      </c>
      <c r="D22" s="142"/>
      <c r="E22" s="4"/>
      <c r="F22" s="4"/>
      <c r="G22" s="4"/>
      <c r="H22" s="4"/>
      <c r="I22" s="4"/>
      <c r="K22" s="5"/>
    </row>
    <row r="23" spans="1:11" x14ac:dyDescent="0.25">
      <c r="A23" s="87"/>
      <c r="B23" s="163"/>
      <c r="C23" s="163"/>
      <c r="D23" s="163"/>
      <c r="E23" s="4"/>
      <c r="F23" s="4"/>
      <c r="G23" s="4"/>
      <c r="H23" s="4"/>
      <c r="I23" s="4"/>
      <c r="K23" s="5"/>
    </row>
    <row r="24" spans="1:11" x14ac:dyDescent="0.25">
      <c r="A24" s="322" t="s">
        <v>142</v>
      </c>
      <c r="B24" s="142">
        <f>+B13-B22</f>
        <v>1</v>
      </c>
      <c r="C24" s="142">
        <f>+C13-C22</f>
        <v>1</v>
      </c>
      <c r="D24" s="142">
        <f>+D13-D22</f>
        <v>0</v>
      </c>
      <c r="E24" s="4"/>
      <c r="F24" s="4"/>
      <c r="G24" s="4"/>
      <c r="H24" s="4"/>
      <c r="I24" s="4"/>
      <c r="K24" s="5"/>
    </row>
    <row r="25" spans="1:11" x14ac:dyDescent="0.25">
      <c r="A25" s="322" t="s">
        <v>137</v>
      </c>
      <c r="B25" s="161">
        <f>+IFERROR(B24/B22,0)*100</f>
        <v>2.6315789473684208</v>
      </c>
      <c r="C25" s="161">
        <f>+IFERROR(C24/C22,0)*100</f>
        <v>100</v>
      </c>
      <c r="D25" s="161">
        <f>+IFERROR(D24/D22,0)*100</f>
        <v>0</v>
      </c>
      <c r="E25" s="4"/>
      <c r="F25" s="4"/>
      <c r="G25" s="4"/>
      <c r="H25" s="4"/>
      <c r="I25" s="4"/>
      <c r="K25" s="5"/>
    </row>
    <row r="26" spans="1:11" x14ac:dyDescent="0.25">
      <c r="K26" s="5"/>
    </row>
    <row r="27" spans="1:11" x14ac:dyDescent="0.25">
      <c r="K27" s="5"/>
    </row>
    <row r="28" spans="1:11" x14ac:dyDescent="0.25">
      <c r="K28" s="5"/>
    </row>
    <row r="29" spans="1:11" x14ac:dyDescent="0.25">
      <c r="K29" s="5"/>
    </row>
    <row r="30" spans="1:11" x14ac:dyDescent="0.25">
      <c r="K30" s="5"/>
    </row>
    <row r="31" spans="1:11" x14ac:dyDescent="0.25">
      <c r="K31" s="5"/>
    </row>
    <row r="32" spans="1:11" x14ac:dyDescent="0.25">
      <c r="K32" s="5"/>
    </row>
    <row r="33" spans="11:11" x14ac:dyDescent="0.25">
      <c r="K33" s="5"/>
    </row>
    <row r="34" spans="11:11" x14ac:dyDescent="0.25">
      <c r="K34" s="5"/>
    </row>
    <row r="35" spans="11:11" x14ac:dyDescent="0.25">
      <c r="K35" s="5"/>
    </row>
    <row r="36" spans="11:11" x14ac:dyDescent="0.25">
      <c r="K36" s="5"/>
    </row>
    <row r="37" spans="11:11" x14ac:dyDescent="0.25">
      <c r="K37" s="5"/>
    </row>
    <row r="38" spans="11:11" x14ac:dyDescent="0.25">
      <c r="K38" s="5"/>
    </row>
    <row r="39" spans="11:11" x14ac:dyDescent="0.25">
      <c r="K39" s="5"/>
    </row>
    <row r="40" spans="11:11" x14ac:dyDescent="0.25">
      <c r="K40" s="6"/>
    </row>
    <row r="41" spans="11:11" x14ac:dyDescent="0.25">
      <c r="K41" s="4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6" workbookViewId="0">
      <selection activeCell="B34" sqref="B34"/>
    </sheetView>
  </sheetViews>
  <sheetFormatPr defaultRowHeight="15.75" x14ac:dyDescent="0.25"/>
  <cols>
    <col min="1" max="1" width="12.125" style="29" customWidth="1"/>
    <col min="2" max="2" width="26.625" style="29" customWidth="1"/>
    <col min="3" max="5" width="8" style="29" customWidth="1"/>
    <col min="6" max="6" width="11.5" style="29" customWidth="1"/>
    <col min="7" max="8" width="8" style="29" customWidth="1"/>
    <col min="9" max="9" width="7.75" style="29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49" t="s">
        <v>149</v>
      </c>
      <c r="B1" s="50"/>
      <c r="C1" s="50"/>
      <c r="D1" s="50"/>
      <c r="E1" s="50"/>
      <c r="F1" s="50"/>
    </row>
    <row r="2" spans="1:20" ht="20.100000000000001" customHeight="1" x14ac:dyDescent="0.25">
      <c r="A2" s="48" t="s">
        <v>150</v>
      </c>
      <c r="B2" s="382" t="s">
        <v>180</v>
      </c>
      <c r="C2" s="382"/>
      <c r="D2" s="382"/>
      <c r="E2" s="382"/>
      <c r="F2" s="382"/>
      <c r="G2" s="31"/>
      <c r="H2" s="31"/>
      <c r="I2" s="30"/>
      <c r="J2" s="32"/>
      <c r="K2" s="32"/>
    </row>
    <row r="3" spans="1:20" ht="20.100000000000001" customHeight="1" x14ac:dyDescent="0.25">
      <c r="A3" s="48" t="s">
        <v>169</v>
      </c>
      <c r="B3" s="381" t="s">
        <v>168</v>
      </c>
      <c r="C3" s="381"/>
      <c r="D3" s="381"/>
      <c r="E3" s="381"/>
      <c r="F3" s="381"/>
      <c r="G3" s="30"/>
      <c r="H3" s="30"/>
      <c r="I3" s="30"/>
      <c r="J3" s="32"/>
      <c r="K3" s="32"/>
    </row>
    <row r="4" spans="1:20" ht="27.75" customHeight="1" x14ac:dyDescent="0.25">
      <c r="A4" s="48" t="s">
        <v>170</v>
      </c>
      <c r="B4" s="383" t="s">
        <v>181</v>
      </c>
      <c r="C4" s="383"/>
      <c r="D4" s="383"/>
      <c r="E4" s="383"/>
      <c r="F4" s="383"/>
    </row>
    <row r="5" spans="1:20" ht="34.5" customHeight="1" x14ac:dyDescent="0.25">
      <c r="A5" s="48" t="s">
        <v>171</v>
      </c>
      <c r="B5" s="377" t="s">
        <v>182</v>
      </c>
      <c r="C5" s="377"/>
      <c r="D5" s="377"/>
      <c r="E5" s="377"/>
      <c r="F5" s="377"/>
      <c r="G5" s="30"/>
      <c r="H5" s="30"/>
      <c r="I5" s="30"/>
      <c r="J5" s="32"/>
      <c r="K5" s="32"/>
    </row>
    <row r="6" spans="1:20" ht="24.75" customHeight="1" x14ac:dyDescent="0.25">
      <c r="A6" s="48" t="s">
        <v>172</v>
      </c>
      <c r="B6" s="381" t="s">
        <v>183</v>
      </c>
      <c r="C6" s="381"/>
      <c r="D6" s="381"/>
      <c r="E6" s="381"/>
      <c r="F6" s="381"/>
      <c r="G6" s="30"/>
      <c r="H6" s="30"/>
      <c r="I6" s="30"/>
      <c r="J6" s="32"/>
      <c r="K6" s="32"/>
    </row>
    <row r="7" spans="1:20" ht="20.100000000000001" customHeight="1" x14ac:dyDescent="0.25">
      <c r="A7" s="48" t="s">
        <v>173</v>
      </c>
      <c r="B7" s="381" t="s">
        <v>184</v>
      </c>
      <c r="C7" s="381"/>
      <c r="D7" s="381"/>
      <c r="E7" s="381"/>
      <c r="F7" s="381"/>
      <c r="G7" s="30"/>
      <c r="H7" s="30"/>
      <c r="I7" s="30"/>
      <c r="J7" s="32"/>
      <c r="K7" s="32"/>
    </row>
    <row r="8" spans="1:20" ht="20.100000000000001" customHeight="1" x14ac:dyDescent="0.25">
      <c r="A8" s="48" t="s">
        <v>151</v>
      </c>
      <c r="B8" s="381" t="s">
        <v>185</v>
      </c>
      <c r="C8" s="381"/>
      <c r="D8" s="381"/>
      <c r="E8" s="381"/>
      <c r="F8" s="381"/>
      <c r="G8" s="30"/>
      <c r="H8" s="30"/>
      <c r="I8" s="30"/>
      <c r="J8" s="32"/>
      <c r="K8" s="32"/>
      <c r="L8" s="4"/>
      <c r="M8" s="4"/>
      <c r="N8" s="4"/>
    </row>
    <row r="9" spans="1:20" ht="37.5" customHeight="1" x14ac:dyDescent="0.25">
      <c r="A9" s="48" t="s">
        <v>164</v>
      </c>
      <c r="B9" s="377" t="s">
        <v>186</v>
      </c>
      <c r="C9" s="377"/>
      <c r="D9" s="377"/>
      <c r="E9" s="377"/>
      <c r="F9" s="377"/>
      <c r="G9" s="30"/>
      <c r="H9" s="30"/>
      <c r="I9" s="30"/>
      <c r="J9" s="32"/>
      <c r="K9" s="32"/>
      <c r="L9" s="4"/>
      <c r="M9" s="4"/>
      <c r="N9" s="4"/>
    </row>
    <row r="10" spans="1:20" ht="37.5" customHeight="1" x14ac:dyDescent="0.25">
      <c r="A10" s="48" t="s">
        <v>165</v>
      </c>
      <c r="B10" s="377" t="s">
        <v>187</v>
      </c>
      <c r="C10" s="377"/>
      <c r="D10" s="377"/>
      <c r="E10" s="377"/>
      <c r="F10" s="377"/>
      <c r="G10" s="30"/>
      <c r="H10" s="30"/>
      <c r="I10" s="30"/>
      <c r="J10" s="32"/>
      <c r="K10" s="32"/>
      <c r="L10" s="4"/>
      <c r="M10" s="4"/>
      <c r="N10" s="4"/>
    </row>
    <row r="11" spans="1:20" ht="20.100000000000001" customHeight="1" x14ac:dyDescent="0.25">
      <c r="A11" s="48" t="s">
        <v>152</v>
      </c>
      <c r="B11" s="381" t="s">
        <v>188</v>
      </c>
      <c r="C11" s="381"/>
      <c r="D11" s="381"/>
      <c r="E11" s="381"/>
      <c r="F11" s="381"/>
      <c r="G11" s="33"/>
      <c r="H11" s="33"/>
      <c r="I11" s="33"/>
      <c r="J11" s="33"/>
      <c r="K11" s="33"/>
      <c r="L11" s="4"/>
      <c r="M11" s="4"/>
      <c r="N11" s="4"/>
    </row>
    <row r="12" spans="1:20" ht="20.100000000000001" customHeight="1" x14ac:dyDescent="0.25">
      <c r="A12" s="48" t="s">
        <v>166</v>
      </c>
      <c r="B12" s="377" t="s">
        <v>189</v>
      </c>
      <c r="C12" s="377"/>
      <c r="D12" s="377"/>
      <c r="E12" s="377"/>
      <c r="F12" s="377"/>
      <c r="G12" s="33"/>
      <c r="H12" s="33"/>
      <c r="I12" s="33"/>
      <c r="J12" s="33"/>
      <c r="K12" s="33"/>
      <c r="L12" s="4"/>
      <c r="M12" s="4"/>
      <c r="N12" s="4"/>
    </row>
    <row r="13" spans="1:20" ht="31.5" customHeight="1" x14ac:dyDescent="0.25">
      <c r="A13" s="48" t="s">
        <v>167</v>
      </c>
      <c r="B13" s="387" t="s">
        <v>190</v>
      </c>
      <c r="C13" s="387"/>
      <c r="D13" s="387"/>
      <c r="E13" s="387"/>
      <c r="F13" s="387"/>
      <c r="G13" s="44"/>
      <c r="H13" s="44"/>
      <c r="I13" s="44"/>
      <c r="J13" s="32"/>
      <c r="K13" s="32"/>
      <c r="L13" s="4"/>
      <c r="M13" s="4"/>
      <c r="N13" s="4"/>
    </row>
    <row r="14" spans="1:20" ht="23.25" customHeight="1" x14ac:dyDescent="0.25">
      <c r="A14" s="48" t="s">
        <v>153</v>
      </c>
      <c r="B14" s="388" t="s">
        <v>174</v>
      </c>
      <c r="C14" s="388"/>
      <c r="D14" s="388"/>
      <c r="E14" s="388"/>
      <c r="F14" s="388"/>
      <c r="G14" s="34"/>
      <c r="H14" s="34"/>
      <c r="I14" s="34"/>
      <c r="J14" s="34"/>
      <c r="K14" s="34"/>
    </row>
    <row r="15" spans="1:20" ht="32.25" customHeight="1" x14ac:dyDescent="0.25">
      <c r="A15" s="48" t="s">
        <v>154</v>
      </c>
      <c r="B15" s="389" t="s">
        <v>191</v>
      </c>
      <c r="C15" s="389"/>
      <c r="D15" s="389"/>
      <c r="E15" s="389"/>
      <c r="F15" s="389"/>
      <c r="G15" s="35"/>
      <c r="H15" s="35"/>
      <c r="I15" s="35"/>
      <c r="J15" s="35"/>
      <c r="K15" s="35"/>
      <c r="L15" s="4"/>
      <c r="M15" s="4"/>
      <c r="N15" s="4"/>
    </row>
    <row r="16" spans="1:20" ht="33.75" customHeight="1" x14ac:dyDescent="0.25">
      <c r="A16" s="48" t="s">
        <v>177</v>
      </c>
      <c r="B16" s="390" t="s">
        <v>192</v>
      </c>
      <c r="C16" s="390"/>
      <c r="D16" s="390"/>
      <c r="E16" s="390"/>
      <c r="F16" s="390"/>
      <c r="G16" s="36"/>
      <c r="H16" s="36"/>
      <c r="I16" s="36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1:11" ht="27" customHeight="1" x14ac:dyDescent="0.25">
      <c r="A17" s="48" t="s">
        <v>155</v>
      </c>
      <c r="B17" s="378" t="s">
        <v>193</v>
      </c>
      <c r="C17" s="378"/>
      <c r="D17" s="378"/>
      <c r="E17" s="378"/>
      <c r="F17" s="378"/>
      <c r="G17" s="38"/>
      <c r="H17" s="38"/>
      <c r="I17" s="38"/>
      <c r="J17" s="38"/>
      <c r="K17" s="38"/>
    </row>
    <row r="18" spans="1:11" ht="20.100000000000001" customHeight="1" x14ac:dyDescent="0.25">
      <c r="A18" s="48" t="s">
        <v>175</v>
      </c>
      <c r="B18" s="378" t="s">
        <v>194</v>
      </c>
      <c r="C18" s="378"/>
      <c r="D18" s="378"/>
      <c r="E18" s="378"/>
      <c r="F18" s="378"/>
      <c r="G18" s="38"/>
      <c r="H18" s="38"/>
      <c r="I18" s="38"/>
      <c r="J18" s="39"/>
      <c r="K18" s="39"/>
    </row>
    <row r="19" spans="1:11" ht="24.75" customHeight="1" x14ac:dyDescent="0.25">
      <c r="A19" s="48" t="s">
        <v>156</v>
      </c>
      <c r="B19" s="379" t="s">
        <v>195</v>
      </c>
      <c r="C19" s="379"/>
      <c r="D19" s="379"/>
      <c r="E19" s="379"/>
      <c r="F19" s="379"/>
      <c r="G19" s="45"/>
      <c r="H19" s="45"/>
      <c r="I19" s="45"/>
      <c r="J19" s="40"/>
      <c r="K19" s="40"/>
    </row>
    <row r="20" spans="1:11" ht="42" customHeight="1" x14ac:dyDescent="0.25">
      <c r="A20" s="48" t="s">
        <v>157</v>
      </c>
      <c r="B20" s="380" t="s">
        <v>196</v>
      </c>
      <c r="C20" s="380"/>
      <c r="D20" s="380"/>
      <c r="E20" s="380"/>
      <c r="F20" s="380"/>
      <c r="G20" s="46"/>
      <c r="H20" s="46"/>
      <c r="I20" s="46"/>
      <c r="J20" s="41"/>
      <c r="K20" s="41"/>
    </row>
    <row r="21" spans="1:11" ht="34.5" customHeight="1" x14ac:dyDescent="0.25">
      <c r="A21" s="48" t="s">
        <v>176</v>
      </c>
      <c r="B21" s="379" t="s">
        <v>197</v>
      </c>
      <c r="C21" s="379"/>
      <c r="D21" s="379"/>
      <c r="E21" s="379"/>
      <c r="F21" s="379"/>
      <c r="G21" s="45"/>
      <c r="H21" s="45"/>
      <c r="I21" s="45"/>
      <c r="J21" s="40"/>
      <c r="K21" s="40"/>
    </row>
    <row r="22" spans="1:11" ht="51.75" customHeight="1" x14ac:dyDescent="0.25">
      <c r="A22" s="48" t="s">
        <v>158</v>
      </c>
      <c r="B22" s="379" t="s">
        <v>198</v>
      </c>
      <c r="C22" s="379"/>
      <c r="D22" s="379"/>
      <c r="E22" s="379"/>
      <c r="F22" s="379"/>
      <c r="G22" s="45"/>
      <c r="H22" s="45"/>
      <c r="I22" s="45"/>
      <c r="J22" s="40"/>
      <c r="K22" s="40"/>
    </row>
    <row r="23" spans="1:11" ht="20.100000000000001" customHeight="1" x14ac:dyDescent="0.25">
      <c r="A23" s="48" t="s">
        <v>159</v>
      </c>
      <c r="B23" s="385" t="s">
        <v>199</v>
      </c>
      <c r="C23" s="385"/>
      <c r="D23" s="385"/>
      <c r="E23" s="385"/>
      <c r="F23" s="385"/>
      <c r="G23" s="47"/>
      <c r="H23" s="47"/>
      <c r="I23" s="47"/>
      <c r="J23" s="42"/>
      <c r="K23" s="42"/>
    </row>
    <row r="24" spans="1:11" ht="20.100000000000001" customHeight="1" x14ac:dyDescent="0.25">
      <c r="A24" s="48" t="s">
        <v>160</v>
      </c>
      <c r="B24" s="386" t="s">
        <v>200</v>
      </c>
      <c r="C24" s="386"/>
      <c r="D24" s="386"/>
      <c r="E24" s="386"/>
      <c r="F24" s="386"/>
      <c r="G24" s="35"/>
      <c r="H24" s="35"/>
      <c r="I24" s="35"/>
      <c r="J24" s="43"/>
      <c r="K24" s="43"/>
    </row>
    <row r="25" spans="1:11" ht="20.100000000000001" customHeight="1" x14ac:dyDescent="0.25">
      <c r="A25" s="48" t="s">
        <v>161</v>
      </c>
      <c r="B25" s="384" t="s">
        <v>201</v>
      </c>
      <c r="C25" s="384"/>
      <c r="D25" s="384"/>
      <c r="E25" s="384"/>
      <c r="F25" s="384"/>
      <c r="G25" s="35"/>
      <c r="H25" s="35"/>
      <c r="I25" s="35"/>
      <c r="J25" s="43"/>
      <c r="K25" s="43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view="pageBreakPreview" topLeftCell="A49" zoomScaleNormal="100" zoomScaleSheetLayoutView="100" workbookViewId="0">
      <selection sqref="A1:F1"/>
    </sheetView>
  </sheetViews>
  <sheetFormatPr defaultRowHeight="15.75" x14ac:dyDescent="0.25"/>
  <cols>
    <col min="1" max="1" width="12.125" customWidth="1"/>
    <col min="2" max="3" width="35.25" customWidth="1"/>
    <col min="4" max="4" width="10" customWidth="1"/>
    <col min="5" max="5" width="10.75" customWidth="1"/>
  </cols>
  <sheetData>
    <row r="1" spans="1:6" ht="41.25" customHeight="1" x14ac:dyDescent="0.25">
      <c r="A1" s="474" t="s">
        <v>728</v>
      </c>
      <c r="B1" s="474"/>
      <c r="C1" s="474"/>
      <c r="D1" s="474"/>
      <c r="E1" s="474"/>
      <c r="F1" s="474"/>
    </row>
    <row r="2" spans="1:6" ht="16.5" thickBot="1" x14ac:dyDescent="0.3">
      <c r="A2" s="166" t="s">
        <v>27</v>
      </c>
      <c r="B2" s="87"/>
      <c r="C2" s="87"/>
      <c r="D2" s="87"/>
      <c r="E2" s="87"/>
      <c r="F2" s="87"/>
    </row>
    <row r="3" spans="1:6" ht="26.25" thickBot="1" x14ac:dyDescent="0.3">
      <c r="A3" s="323" t="s">
        <v>30</v>
      </c>
      <c r="B3" s="146" t="s">
        <v>57</v>
      </c>
      <c r="C3" s="146" t="s">
        <v>98</v>
      </c>
      <c r="D3" s="146" t="s">
        <v>94</v>
      </c>
      <c r="E3" s="146" t="s">
        <v>74</v>
      </c>
      <c r="F3" s="164" t="s">
        <v>75</v>
      </c>
    </row>
    <row r="4" spans="1:6" x14ac:dyDescent="0.25">
      <c r="A4" s="189" t="s">
        <v>249</v>
      </c>
      <c r="B4" s="179" t="s">
        <v>693</v>
      </c>
      <c r="C4" s="179" t="s">
        <v>693</v>
      </c>
      <c r="D4" s="117" t="s">
        <v>267</v>
      </c>
      <c r="E4" s="117" t="s">
        <v>726</v>
      </c>
      <c r="F4" s="117" t="s">
        <v>602</v>
      </c>
    </row>
    <row r="5" spans="1:6" x14ac:dyDescent="0.25">
      <c r="A5" s="189" t="s">
        <v>249</v>
      </c>
      <c r="B5" s="57" t="s">
        <v>694</v>
      </c>
      <c r="C5" s="57" t="s">
        <v>694</v>
      </c>
      <c r="D5" s="117" t="s">
        <v>603</v>
      </c>
      <c r="E5" s="117" t="s">
        <v>726</v>
      </c>
      <c r="F5" s="117" t="s">
        <v>602</v>
      </c>
    </row>
    <row r="6" spans="1:6" x14ac:dyDescent="0.25">
      <c r="A6" s="189" t="s">
        <v>249</v>
      </c>
      <c r="B6" s="57" t="s">
        <v>695</v>
      </c>
      <c r="C6" s="57" t="s">
        <v>695</v>
      </c>
      <c r="D6" s="117" t="s">
        <v>603</v>
      </c>
      <c r="E6" s="117" t="s">
        <v>726</v>
      </c>
      <c r="F6" s="117" t="s">
        <v>602</v>
      </c>
    </row>
    <row r="7" spans="1:6" x14ac:dyDescent="0.25">
      <c r="A7" s="189" t="s">
        <v>249</v>
      </c>
      <c r="B7" s="57" t="s">
        <v>696</v>
      </c>
      <c r="C7" s="57" t="s">
        <v>696</v>
      </c>
      <c r="D7" s="117" t="s">
        <v>603</v>
      </c>
      <c r="E7" s="117" t="s">
        <v>726</v>
      </c>
      <c r="F7" s="117" t="s">
        <v>602</v>
      </c>
    </row>
    <row r="8" spans="1:6" x14ac:dyDescent="0.25">
      <c r="A8" s="189" t="s">
        <v>249</v>
      </c>
      <c r="B8" s="57" t="s">
        <v>697</v>
      </c>
      <c r="C8" s="57" t="s">
        <v>697</v>
      </c>
      <c r="D8" s="117" t="s">
        <v>267</v>
      </c>
      <c r="E8" s="117" t="s">
        <v>726</v>
      </c>
      <c r="F8" s="117" t="s">
        <v>602</v>
      </c>
    </row>
    <row r="9" spans="1:6" x14ac:dyDescent="0.25">
      <c r="A9" s="189" t="s">
        <v>249</v>
      </c>
      <c r="B9" s="57" t="s">
        <v>698</v>
      </c>
      <c r="C9" s="57" t="s">
        <v>698</v>
      </c>
      <c r="D9" s="117" t="s">
        <v>267</v>
      </c>
      <c r="E9" s="117" t="s">
        <v>726</v>
      </c>
      <c r="F9" s="117" t="s">
        <v>602</v>
      </c>
    </row>
    <row r="10" spans="1:6" x14ac:dyDescent="0.25">
      <c r="A10" s="189" t="s">
        <v>249</v>
      </c>
      <c r="B10" s="81" t="s">
        <v>699</v>
      </c>
      <c r="C10" s="81" t="s">
        <v>699</v>
      </c>
      <c r="D10" s="117" t="s">
        <v>267</v>
      </c>
      <c r="E10" s="117" t="s">
        <v>726</v>
      </c>
      <c r="F10" s="117" t="s">
        <v>602</v>
      </c>
    </row>
    <row r="11" spans="1:6" x14ac:dyDescent="0.25">
      <c r="A11" s="189" t="s">
        <v>249</v>
      </c>
      <c r="B11" s="81" t="s">
        <v>700</v>
      </c>
      <c r="C11" s="81" t="s">
        <v>700</v>
      </c>
      <c r="D11" s="117" t="s">
        <v>603</v>
      </c>
      <c r="E11" s="117" t="s">
        <v>726</v>
      </c>
      <c r="F11" s="117" t="s">
        <v>602</v>
      </c>
    </row>
    <row r="12" spans="1:6" x14ac:dyDescent="0.25">
      <c r="A12" s="189" t="s">
        <v>249</v>
      </c>
      <c r="B12" s="81" t="s">
        <v>701</v>
      </c>
      <c r="C12" s="81" t="s">
        <v>701</v>
      </c>
      <c r="D12" s="117" t="s">
        <v>267</v>
      </c>
      <c r="E12" s="117" t="s">
        <v>726</v>
      </c>
      <c r="F12" s="117" t="s">
        <v>602</v>
      </c>
    </row>
    <row r="13" spans="1:6" ht="29.25" customHeight="1" x14ac:dyDescent="0.25">
      <c r="A13" s="324" t="s">
        <v>691</v>
      </c>
      <c r="B13" s="325" t="s">
        <v>605</v>
      </c>
      <c r="C13" s="325" t="s">
        <v>606</v>
      </c>
      <c r="D13" s="326" t="s">
        <v>607</v>
      </c>
      <c r="E13" s="117" t="s">
        <v>726</v>
      </c>
      <c r="F13" s="326" t="s">
        <v>602</v>
      </c>
    </row>
    <row r="14" spans="1:6" ht="30" customHeight="1" x14ac:dyDescent="0.25">
      <c r="A14" s="324" t="s">
        <v>691</v>
      </c>
      <c r="B14" s="327" t="s">
        <v>608</v>
      </c>
      <c r="C14" s="327" t="s">
        <v>608</v>
      </c>
      <c r="D14" s="328" t="s">
        <v>603</v>
      </c>
      <c r="E14" s="117" t="s">
        <v>726</v>
      </c>
      <c r="F14" s="328" t="s">
        <v>602</v>
      </c>
    </row>
    <row r="15" spans="1:6" ht="27.75" customHeight="1" x14ac:dyDescent="0.25">
      <c r="A15" s="324" t="s">
        <v>691</v>
      </c>
      <c r="B15" s="327" t="s">
        <v>610</v>
      </c>
      <c r="C15" s="327" t="s">
        <v>610</v>
      </c>
      <c r="D15" s="328" t="s">
        <v>603</v>
      </c>
      <c r="E15" s="117" t="s">
        <v>726</v>
      </c>
      <c r="F15" s="328" t="s">
        <v>602</v>
      </c>
    </row>
    <row r="16" spans="1:6" ht="29.25" customHeight="1" x14ac:dyDescent="0.25">
      <c r="A16" s="324" t="s">
        <v>691</v>
      </c>
      <c r="B16" s="327" t="s">
        <v>610</v>
      </c>
      <c r="C16" s="329" t="s">
        <v>611</v>
      </c>
      <c r="D16" s="330" t="s">
        <v>603</v>
      </c>
      <c r="E16" s="117" t="s">
        <v>726</v>
      </c>
      <c r="F16" s="330" t="s">
        <v>602</v>
      </c>
    </row>
    <row r="17" spans="1:6" ht="28.5" customHeight="1" x14ac:dyDescent="0.25">
      <c r="A17" s="324" t="s">
        <v>691</v>
      </c>
      <c r="B17" s="327" t="s">
        <v>612</v>
      </c>
      <c r="C17" s="331" t="s">
        <v>612</v>
      </c>
      <c r="D17" s="330" t="s">
        <v>603</v>
      </c>
      <c r="E17" s="117" t="s">
        <v>726</v>
      </c>
      <c r="F17" s="330" t="s">
        <v>602</v>
      </c>
    </row>
    <row r="18" spans="1:6" ht="26.25" x14ac:dyDescent="0.25">
      <c r="A18" s="332" t="s">
        <v>682</v>
      </c>
      <c r="B18" s="332" t="s">
        <v>614</v>
      </c>
      <c r="C18" s="332" t="s">
        <v>615</v>
      </c>
      <c r="D18" s="328" t="s">
        <v>267</v>
      </c>
      <c r="E18" s="117" t="s">
        <v>726</v>
      </c>
      <c r="F18" s="328" t="s">
        <v>602</v>
      </c>
    </row>
    <row r="19" spans="1:6" ht="26.25" x14ac:dyDescent="0.25">
      <c r="A19" s="332" t="s">
        <v>682</v>
      </c>
      <c r="B19" s="332" t="s">
        <v>614</v>
      </c>
      <c r="C19" s="332" t="s">
        <v>616</v>
      </c>
      <c r="D19" s="328" t="s">
        <v>267</v>
      </c>
      <c r="E19" s="117" t="s">
        <v>726</v>
      </c>
      <c r="F19" s="328" t="s">
        <v>602</v>
      </c>
    </row>
    <row r="20" spans="1:6" ht="26.25" x14ac:dyDescent="0.25">
      <c r="A20" s="332" t="s">
        <v>682</v>
      </c>
      <c r="B20" s="332" t="s">
        <v>614</v>
      </c>
      <c r="C20" s="332" t="s">
        <v>617</v>
      </c>
      <c r="D20" s="328" t="s">
        <v>267</v>
      </c>
      <c r="E20" s="117" t="s">
        <v>726</v>
      </c>
      <c r="F20" s="328" t="s">
        <v>602</v>
      </c>
    </row>
    <row r="21" spans="1:6" x14ac:dyDescent="0.25">
      <c r="A21" s="332" t="s">
        <v>682</v>
      </c>
      <c r="B21" s="332" t="s">
        <v>614</v>
      </c>
      <c r="C21" s="332" t="s">
        <v>618</v>
      </c>
      <c r="D21" s="328" t="s">
        <v>267</v>
      </c>
      <c r="E21" s="117" t="s">
        <v>726</v>
      </c>
      <c r="F21" s="328" t="s">
        <v>602</v>
      </c>
    </row>
    <row r="22" spans="1:6" x14ac:dyDescent="0.25">
      <c r="A22" s="332" t="s">
        <v>682</v>
      </c>
      <c r="B22" s="332" t="s">
        <v>614</v>
      </c>
      <c r="C22" s="332" t="s">
        <v>619</v>
      </c>
      <c r="D22" s="328" t="s">
        <v>267</v>
      </c>
      <c r="E22" s="117" t="s">
        <v>726</v>
      </c>
      <c r="F22" s="328" t="s">
        <v>602</v>
      </c>
    </row>
    <row r="23" spans="1:6" x14ac:dyDescent="0.25">
      <c r="A23" s="332" t="s">
        <v>682</v>
      </c>
      <c r="B23" s="332" t="s">
        <v>614</v>
      </c>
      <c r="C23" s="332" t="s">
        <v>620</v>
      </c>
      <c r="D23" s="328" t="s">
        <v>267</v>
      </c>
      <c r="E23" s="117" t="s">
        <v>726</v>
      </c>
      <c r="F23" s="328" t="s">
        <v>602</v>
      </c>
    </row>
    <row r="24" spans="1:6" x14ac:dyDescent="0.25">
      <c r="A24" s="332" t="s">
        <v>682</v>
      </c>
      <c r="B24" s="332" t="s">
        <v>614</v>
      </c>
      <c r="C24" s="332" t="s">
        <v>621</v>
      </c>
      <c r="D24" s="328" t="s">
        <v>267</v>
      </c>
      <c r="E24" s="117" t="s">
        <v>726</v>
      </c>
      <c r="F24" s="328" t="s">
        <v>602</v>
      </c>
    </row>
    <row r="25" spans="1:6" x14ac:dyDescent="0.25">
      <c r="A25" s="332" t="s">
        <v>682</v>
      </c>
      <c r="B25" s="332" t="s">
        <v>614</v>
      </c>
      <c r="C25" s="332" t="s">
        <v>622</v>
      </c>
      <c r="D25" s="328" t="s">
        <v>267</v>
      </c>
      <c r="E25" s="117" t="s">
        <v>726</v>
      </c>
      <c r="F25" s="328" t="s">
        <v>602</v>
      </c>
    </row>
    <row r="26" spans="1:6" ht="26.25" x14ac:dyDescent="0.25">
      <c r="A26" s="332" t="s">
        <v>682</v>
      </c>
      <c r="B26" s="332" t="s">
        <v>623</v>
      </c>
      <c r="C26" s="332" t="s">
        <v>624</v>
      </c>
      <c r="D26" s="328" t="s">
        <v>267</v>
      </c>
      <c r="E26" s="117" t="s">
        <v>726</v>
      </c>
      <c r="F26" s="328" t="s">
        <v>602</v>
      </c>
    </row>
    <row r="27" spans="1:6" ht="29.25" customHeight="1" x14ac:dyDescent="0.25">
      <c r="A27" s="332" t="s">
        <v>682</v>
      </c>
      <c r="B27" s="332" t="s">
        <v>623</v>
      </c>
      <c r="C27" s="332" t="s">
        <v>625</v>
      </c>
      <c r="D27" s="328" t="s">
        <v>267</v>
      </c>
      <c r="E27" s="117" t="s">
        <v>726</v>
      </c>
      <c r="F27" s="328" t="s">
        <v>602</v>
      </c>
    </row>
    <row r="28" spans="1:6" ht="26.25" x14ac:dyDescent="0.25">
      <c r="A28" s="332" t="s">
        <v>682</v>
      </c>
      <c r="B28" s="332" t="s">
        <v>623</v>
      </c>
      <c r="C28" s="332" t="s">
        <v>626</v>
      </c>
      <c r="D28" s="328" t="s">
        <v>267</v>
      </c>
      <c r="E28" s="117" t="s">
        <v>726</v>
      </c>
      <c r="F28" s="328" t="s">
        <v>602</v>
      </c>
    </row>
    <row r="29" spans="1:6" x14ac:dyDescent="0.25">
      <c r="A29" s="332" t="s">
        <v>682</v>
      </c>
      <c r="B29" s="332" t="s">
        <v>627</v>
      </c>
      <c r="C29" s="332" t="s">
        <v>628</v>
      </c>
      <c r="D29" s="328" t="s">
        <v>609</v>
      </c>
      <c r="E29" s="117" t="s">
        <v>726</v>
      </c>
      <c r="F29" s="328" t="s">
        <v>602</v>
      </c>
    </row>
    <row r="30" spans="1:6" x14ac:dyDescent="0.25">
      <c r="A30" s="332" t="s">
        <v>682</v>
      </c>
      <c r="B30" s="332" t="s">
        <v>629</v>
      </c>
      <c r="C30" s="332" t="s">
        <v>629</v>
      </c>
      <c r="D30" s="328" t="s">
        <v>603</v>
      </c>
      <c r="E30" s="117" t="s">
        <v>726</v>
      </c>
      <c r="F30" s="328" t="s">
        <v>602</v>
      </c>
    </row>
    <row r="31" spans="1:6" x14ac:dyDescent="0.25">
      <c r="A31" s="324" t="s">
        <v>260</v>
      </c>
      <c r="B31" s="325" t="s">
        <v>22</v>
      </c>
      <c r="C31" s="325" t="s">
        <v>22</v>
      </c>
      <c r="D31" s="326" t="s">
        <v>603</v>
      </c>
      <c r="E31" s="117" t="s">
        <v>726</v>
      </c>
      <c r="F31" s="326" t="s">
        <v>602</v>
      </c>
    </row>
    <row r="32" spans="1:6" x14ac:dyDescent="0.25">
      <c r="A32" s="324" t="s">
        <v>583</v>
      </c>
      <c r="B32" s="325" t="s">
        <v>702</v>
      </c>
      <c r="C32" s="325" t="s">
        <v>713</v>
      </c>
      <c r="D32" s="326" t="s">
        <v>267</v>
      </c>
      <c r="E32" s="117" t="s">
        <v>726</v>
      </c>
      <c r="F32" s="326" t="s">
        <v>602</v>
      </c>
    </row>
    <row r="33" spans="1:6" x14ac:dyDescent="0.25">
      <c r="A33" s="324" t="s">
        <v>583</v>
      </c>
      <c r="B33" s="327" t="s">
        <v>703</v>
      </c>
      <c r="C33" s="327" t="s">
        <v>714</v>
      </c>
      <c r="D33" s="328" t="s">
        <v>603</v>
      </c>
      <c r="E33" s="117" t="s">
        <v>726</v>
      </c>
      <c r="F33" s="328" t="s">
        <v>602</v>
      </c>
    </row>
    <row r="34" spans="1:6" x14ac:dyDescent="0.25">
      <c r="A34" s="324" t="s">
        <v>583</v>
      </c>
      <c r="B34" s="327" t="s">
        <v>695</v>
      </c>
      <c r="C34" s="327" t="s">
        <v>715</v>
      </c>
      <c r="D34" s="328" t="s">
        <v>267</v>
      </c>
      <c r="E34" s="117" t="s">
        <v>726</v>
      </c>
      <c r="F34" s="328" t="s">
        <v>602</v>
      </c>
    </row>
    <row r="35" spans="1:6" x14ac:dyDescent="0.25">
      <c r="A35" s="324" t="s">
        <v>583</v>
      </c>
      <c r="B35" s="327" t="s">
        <v>704</v>
      </c>
      <c r="C35" s="327" t="s">
        <v>716</v>
      </c>
      <c r="D35" s="328" t="s">
        <v>632</v>
      </c>
      <c r="E35" s="117" t="s">
        <v>726</v>
      </c>
      <c r="F35" s="328" t="s">
        <v>602</v>
      </c>
    </row>
    <row r="36" spans="1:6" x14ac:dyDescent="0.25">
      <c r="A36" s="324" t="s">
        <v>583</v>
      </c>
      <c r="B36" s="327" t="s">
        <v>610</v>
      </c>
      <c r="C36" s="327" t="s">
        <v>717</v>
      </c>
      <c r="D36" s="328" t="s">
        <v>603</v>
      </c>
      <c r="E36" s="117" t="s">
        <v>726</v>
      </c>
      <c r="F36" s="328" t="s">
        <v>602</v>
      </c>
    </row>
    <row r="37" spans="1:6" x14ac:dyDescent="0.25">
      <c r="A37" s="324" t="s">
        <v>583</v>
      </c>
      <c r="B37" s="327" t="s">
        <v>705</v>
      </c>
      <c r="C37" s="327" t="s">
        <v>718</v>
      </c>
      <c r="D37" s="328" t="s">
        <v>267</v>
      </c>
      <c r="E37" s="117" t="s">
        <v>726</v>
      </c>
      <c r="F37" s="328" t="s">
        <v>602</v>
      </c>
    </row>
    <row r="38" spans="1:6" x14ac:dyDescent="0.25">
      <c r="A38" s="187"/>
      <c r="B38" s="87"/>
      <c r="C38" s="87"/>
      <c r="D38" s="230"/>
      <c r="E38" s="230"/>
      <c r="F38" s="230"/>
    </row>
    <row r="39" spans="1:6" ht="16.5" thickBot="1" x14ac:dyDescent="0.3">
      <c r="A39" s="333" t="s">
        <v>28</v>
      </c>
      <c r="B39" s="87"/>
      <c r="C39" s="87"/>
      <c r="D39" s="230"/>
      <c r="E39" s="230"/>
      <c r="F39" s="230"/>
    </row>
    <row r="40" spans="1:6" ht="26.25" thickBot="1" x14ac:dyDescent="0.3">
      <c r="A40" s="323" t="s">
        <v>30</v>
      </c>
      <c r="B40" s="146" t="s">
        <v>57</v>
      </c>
      <c r="C40" s="146" t="s">
        <v>98</v>
      </c>
      <c r="D40" s="146" t="s">
        <v>94</v>
      </c>
      <c r="E40" s="146" t="s">
        <v>74</v>
      </c>
      <c r="F40" s="164" t="s">
        <v>75</v>
      </c>
    </row>
    <row r="41" spans="1:6" x14ac:dyDescent="0.25">
      <c r="A41" s="189" t="s">
        <v>249</v>
      </c>
      <c r="B41" s="179" t="s">
        <v>693</v>
      </c>
      <c r="C41" s="179" t="s">
        <v>693</v>
      </c>
      <c r="D41" s="117" t="s">
        <v>267</v>
      </c>
      <c r="E41" s="117" t="s">
        <v>726</v>
      </c>
      <c r="F41" s="117" t="s">
        <v>633</v>
      </c>
    </row>
    <row r="42" spans="1:6" x14ac:dyDescent="0.25">
      <c r="A42" s="189" t="s">
        <v>249</v>
      </c>
      <c r="B42" s="57" t="s">
        <v>694</v>
      </c>
      <c r="C42" s="57" t="s">
        <v>694</v>
      </c>
      <c r="D42" s="119" t="s">
        <v>267</v>
      </c>
      <c r="E42" s="117" t="s">
        <v>726</v>
      </c>
      <c r="F42" s="117" t="s">
        <v>633</v>
      </c>
    </row>
    <row r="43" spans="1:6" x14ac:dyDescent="0.25">
      <c r="A43" s="189" t="s">
        <v>249</v>
      </c>
      <c r="B43" s="57" t="s">
        <v>695</v>
      </c>
      <c r="C43" s="57" t="s">
        <v>604</v>
      </c>
      <c r="D43" s="117" t="s">
        <v>603</v>
      </c>
      <c r="E43" s="117" t="s">
        <v>726</v>
      </c>
      <c r="F43" s="117" t="s">
        <v>633</v>
      </c>
    </row>
    <row r="44" spans="1:6" x14ac:dyDescent="0.25">
      <c r="A44" s="189" t="s">
        <v>249</v>
      </c>
      <c r="B44" s="124" t="s">
        <v>695</v>
      </c>
      <c r="C44" s="124" t="s">
        <v>719</v>
      </c>
      <c r="D44" s="119" t="s">
        <v>267</v>
      </c>
      <c r="E44" s="117" t="s">
        <v>726</v>
      </c>
      <c r="F44" s="117" t="s">
        <v>633</v>
      </c>
    </row>
    <row r="45" spans="1:6" x14ac:dyDescent="0.25">
      <c r="A45" s="189" t="s">
        <v>249</v>
      </c>
      <c r="B45" s="57" t="s">
        <v>696</v>
      </c>
      <c r="C45" s="57" t="s">
        <v>696</v>
      </c>
      <c r="D45" s="119" t="s">
        <v>267</v>
      </c>
      <c r="E45" s="117" t="s">
        <v>726</v>
      </c>
      <c r="F45" s="117" t="s">
        <v>633</v>
      </c>
    </row>
    <row r="46" spans="1:6" x14ac:dyDescent="0.25">
      <c r="A46" s="189" t="s">
        <v>249</v>
      </c>
      <c r="B46" s="57" t="s">
        <v>697</v>
      </c>
      <c r="C46" s="57" t="s">
        <v>697</v>
      </c>
      <c r="D46" s="119" t="s">
        <v>267</v>
      </c>
      <c r="E46" s="117" t="s">
        <v>726</v>
      </c>
      <c r="F46" s="117" t="s">
        <v>633</v>
      </c>
    </row>
    <row r="47" spans="1:6" ht="26.25" x14ac:dyDescent="0.25">
      <c r="A47" s="189" t="s">
        <v>249</v>
      </c>
      <c r="B47" s="57" t="s">
        <v>698</v>
      </c>
      <c r="C47" s="182" t="s">
        <v>720</v>
      </c>
      <c r="D47" s="119" t="s">
        <v>267</v>
      </c>
      <c r="E47" s="117" t="s">
        <v>726</v>
      </c>
      <c r="F47" s="117" t="s">
        <v>633</v>
      </c>
    </row>
    <row r="48" spans="1:6" x14ac:dyDescent="0.25">
      <c r="A48" s="189" t="s">
        <v>249</v>
      </c>
      <c r="B48" s="81" t="s">
        <v>699</v>
      </c>
      <c r="C48" s="81" t="s">
        <v>699</v>
      </c>
      <c r="D48" s="119" t="s">
        <v>267</v>
      </c>
      <c r="E48" s="117" t="s">
        <v>726</v>
      </c>
      <c r="F48" s="117" t="s">
        <v>633</v>
      </c>
    </row>
    <row r="49" spans="1:6" x14ac:dyDescent="0.25">
      <c r="A49" s="189" t="s">
        <v>249</v>
      </c>
      <c r="B49" s="81" t="s">
        <v>700</v>
      </c>
      <c r="C49" s="83" t="s">
        <v>700</v>
      </c>
      <c r="D49" s="119" t="s">
        <v>267</v>
      </c>
      <c r="E49" s="117" t="s">
        <v>726</v>
      </c>
      <c r="F49" s="117" t="s">
        <v>633</v>
      </c>
    </row>
    <row r="50" spans="1:6" ht="27" customHeight="1" x14ac:dyDescent="0.25">
      <c r="A50" s="324" t="s">
        <v>691</v>
      </c>
      <c r="B50" s="327" t="s">
        <v>608</v>
      </c>
      <c r="C50" s="327" t="s">
        <v>608</v>
      </c>
      <c r="D50" s="326" t="s">
        <v>603</v>
      </c>
      <c r="E50" s="117" t="s">
        <v>726</v>
      </c>
      <c r="F50" s="326" t="s">
        <v>633</v>
      </c>
    </row>
    <row r="51" spans="1:6" ht="27.75" customHeight="1" x14ac:dyDescent="0.25">
      <c r="A51" s="324" t="s">
        <v>691</v>
      </c>
      <c r="B51" s="327" t="s">
        <v>605</v>
      </c>
      <c r="C51" s="327" t="s">
        <v>605</v>
      </c>
      <c r="D51" s="328" t="s">
        <v>603</v>
      </c>
      <c r="E51" s="117" t="s">
        <v>726</v>
      </c>
      <c r="F51" s="328" t="s">
        <v>633</v>
      </c>
    </row>
    <row r="52" spans="1:6" ht="27" customHeight="1" x14ac:dyDescent="0.25">
      <c r="A52" s="324" t="s">
        <v>691</v>
      </c>
      <c r="B52" s="327" t="s">
        <v>610</v>
      </c>
      <c r="C52" s="327" t="s">
        <v>610</v>
      </c>
      <c r="D52" s="328" t="s">
        <v>603</v>
      </c>
      <c r="E52" s="117" t="s">
        <v>726</v>
      </c>
      <c r="F52" s="328" t="s">
        <v>633</v>
      </c>
    </row>
    <row r="53" spans="1:6" ht="29.25" customHeight="1" x14ac:dyDescent="0.25">
      <c r="A53" s="324" t="s">
        <v>691</v>
      </c>
      <c r="B53" s="327" t="s">
        <v>610</v>
      </c>
      <c r="C53" s="329" t="s">
        <v>634</v>
      </c>
      <c r="D53" s="330" t="s">
        <v>603</v>
      </c>
      <c r="E53" s="117" t="s">
        <v>726</v>
      </c>
      <c r="F53" s="330" t="s">
        <v>633</v>
      </c>
    </row>
    <row r="54" spans="1:6" ht="29.25" customHeight="1" x14ac:dyDescent="0.25">
      <c r="A54" s="324" t="s">
        <v>691</v>
      </c>
      <c r="B54" s="334" t="s">
        <v>612</v>
      </c>
      <c r="C54" s="331" t="s">
        <v>612</v>
      </c>
      <c r="D54" s="330" t="s">
        <v>603</v>
      </c>
      <c r="E54" s="117" t="s">
        <v>726</v>
      </c>
      <c r="F54" s="335" t="s">
        <v>633</v>
      </c>
    </row>
    <row r="55" spans="1:6" ht="26.25" x14ac:dyDescent="0.25">
      <c r="A55" s="336" t="s">
        <v>251</v>
      </c>
      <c r="B55" s="332" t="s">
        <v>614</v>
      </c>
      <c r="C55" s="324" t="s">
        <v>615</v>
      </c>
      <c r="D55" s="326" t="s">
        <v>267</v>
      </c>
      <c r="E55" s="117" t="s">
        <v>726</v>
      </c>
      <c r="F55" s="326" t="s">
        <v>633</v>
      </c>
    </row>
    <row r="56" spans="1:6" ht="26.25" x14ac:dyDescent="0.25">
      <c r="A56" s="336" t="s">
        <v>251</v>
      </c>
      <c r="B56" s="332" t="s">
        <v>614</v>
      </c>
      <c r="C56" s="332" t="s">
        <v>616</v>
      </c>
      <c r="D56" s="328" t="s">
        <v>267</v>
      </c>
      <c r="E56" s="117" t="s">
        <v>726</v>
      </c>
      <c r="F56" s="328" t="s">
        <v>633</v>
      </c>
    </row>
    <row r="57" spans="1:6" ht="26.25" x14ac:dyDescent="0.25">
      <c r="A57" s="336" t="s">
        <v>251</v>
      </c>
      <c r="B57" s="332" t="s">
        <v>635</v>
      </c>
      <c r="C57" s="332" t="s">
        <v>617</v>
      </c>
      <c r="D57" s="328" t="s">
        <v>267</v>
      </c>
      <c r="E57" s="117" t="s">
        <v>726</v>
      </c>
      <c r="F57" s="328" t="s">
        <v>633</v>
      </c>
    </row>
    <row r="58" spans="1:6" x14ac:dyDescent="0.25">
      <c r="A58" s="336" t="s">
        <v>251</v>
      </c>
      <c r="B58" s="332" t="s">
        <v>614</v>
      </c>
      <c r="C58" s="332" t="s">
        <v>618</v>
      </c>
      <c r="D58" s="328" t="s">
        <v>267</v>
      </c>
      <c r="E58" s="117" t="s">
        <v>726</v>
      </c>
      <c r="F58" s="328" t="s">
        <v>633</v>
      </c>
    </row>
    <row r="59" spans="1:6" x14ac:dyDescent="0.25">
      <c r="A59" s="336" t="s">
        <v>251</v>
      </c>
      <c r="B59" s="332" t="s">
        <v>614</v>
      </c>
      <c r="C59" s="332" t="s">
        <v>619</v>
      </c>
      <c r="D59" s="328" t="s">
        <v>267</v>
      </c>
      <c r="E59" s="117" t="s">
        <v>726</v>
      </c>
      <c r="F59" s="328" t="s">
        <v>633</v>
      </c>
    </row>
    <row r="60" spans="1:6" x14ac:dyDescent="0.25">
      <c r="A60" s="336" t="s">
        <v>251</v>
      </c>
      <c r="B60" s="332" t="s">
        <v>614</v>
      </c>
      <c r="C60" s="332" t="s">
        <v>620</v>
      </c>
      <c r="D60" s="328" t="s">
        <v>267</v>
      </c>
      <c r="E60" s="117" t="s">
        <v>726</v>
      </c>
      <c r="F60" s="328" t="s">
        <v>633</v>
      </c>
    </row>
    <row r="61" spans="1:6" x14ac:dyDescent="0.25">
      <c r="A61" s="336" t="s">
        <v>251</v>
      </c>
      <c r="B61" s="332" t="s">
        <v>614</v>
      </c>
      <c r="C61" s="332" t="s">
        <v>621</v>
      </c>
      <c r="D61" s="328" t="s">
        <v>267</v>
      </c>
      <c r="E61" s="117" t="s">
        <v>726</v>
      </c>
      <c r="F61" s="328" t="s">
        <v>633</v>
      </c>
    </row>
    <row r="62" spans="1:6" x14ac:dyDescent="0.25">
      <c r="A62" s="336" t="s">
        <v>251</v>
      </c>
      <c r="B62" s="332" t="s">
        <v>614</v>
      </c>
      <c r="C62" s="332" t="s">
        <v>622</v>
      </c>
      <c r="D62" s="328" t="s">
        <v>267</v>
      </c>
      <c r="E62" s="117" t="s">
        <v>726</v>
      </c>
      <c r="F62" s="328" t="s">
        <v>633</v>
      </c>
    </row>
    <row r="63" spans="1:6" ht="26.25" x14ac:dyDescent="0.25">
      <c r="A63" s="336" t="s">
        <v>251</v>
      </c>
      <c r="B63" s="332" t="s">
        <v>636</v>
      </c>
      <c r="C63" s="332" t="s">
        <v>624</v>
      </c>
      <c r="D63" s="328" t="s">
        <v>267</v>
      </c>
      <c r="E63" s="117" t="s">
        <v>726</v>
      </c>
      <c r="F63" s="328" t="s">
        <v>633</v>
      </c>
    </row>
    <row r="64" spans="1:6" ht="26.25" x14ac:dyDescent="0.25">
      <c r="A64" s="336" t="s">
        <v>251</v>
      </c>
      <c r="B64" s="332" t="s">
        <v>623</v>
      </c>
      <c r="C64" s="332" t="s">
        <v>625</v>
      </c>
      <c r="D64" s="328" t="s">
        <v>267</v>
      </c>
      <c r="E64" s="117" t="s">
        <v>726</v>
      </c>
      <c r="F64" s="328" t="s">
        <v>633</v>
      </c>
    </row>
    <row r="65" spans="1:6" ht="26.25" x14ac:dyDescent="0.25">
      <c r="A65" s="336" t="s">
        <v>251</v>
      </c>
      <c r="B65" s="332" t="s">
        <v>623</v>
      </c>
      <c r="C65" s="332" t="s">
        <v>637</v>
      </c>
      <c r="D65" s="328" t="s">
        <v>267</v>
      </c>
      <c r="E65" s="117" t="s">
        <v>726</v>
      </c>
      <c r="F65" s="328" t="s">
        <v>633</v>
      </c>
    </row>
    <row r="66" spans="1:6" x14ac:dyDescent="0.25">
      <c r="A66" s="336" t="s">
        <v>251</v>
      </c>
      <c r="B66" s="332" t="s">
        <v>627</v>
      </c>
      <c r="C66" s="332" t="s">
        <v>628</v>
      </c>
      <c r="D66" s="328" t="s">
        <v>603</v>
      </c>
      <c r="E66" s="117" t="s">
        <v>726</v>
      </c>
      <c r="F66" s="328" t="s">
        <v>633</v>
      </c>
    </row>
    <row r="67" spans="1:6" x14ac:dyDescent="0.25">
      <c r="A67" s="336" t="s">
        <v>251</v>
      </c>
      <c r="B67" s="332" t="s">
        <v>629</v>
      </c>
      <c r="C67" s="332" t="s">
        <v>638</v>
      </c>
      <c r="D67" s="328" t="s">
        <v>603</v>
      </c>
      <c r="E67" s="117" t="s">
        <v>726</v>
      </c>
      <c r="F67" s="328" t="s">
        <v>633</v>
      </c>
    </row>
    <row r="68" spans="1:6" x14ac:dyDescent="0.25">
      <c r="A68" s="336" t="s">
        <v>251</v>
      </c>
      <c r="B68" s="332" t="s">
        <v>629</v>
      </c>
      <c r="C68" s="327" t="s">
        <v>639</v>
      </c>
      <c r="D68" s="328" t="s">
        <v>603</v>
      </c>
      <c r="E68" s="117" t="s">
        <v>726</v>
      </c>
      <c r="F68" s="328" t="s">
        <v>633</v>
      </c>
    </row>
    <row r="69" spans="1:6" x14ac:dyDescent="0.25">
      <c r="A69" s="324" t="s">
        <v>260</v>
      </c>
      <c r="B69" s="325" t="s">
        <v>22</v>
      </c>
      <c r="C69" s="325" t="s">
        <v>22</v>
      </c>
      <c r="D69" s="326" t="s">
        <v>603</v>
      </c>
      <c r="E69" s="117" t="s">
        <v>726</v>
      </c>
      <c r="F69" s="326" t="s">
        <v>633</v>
      </c>
    </row>
    <row r="70" spans="1:6" x14ac:dyDescent="0.25">
      <c r="A70" s="324" t="s">
        <v>583</v>
      </c>
      <c r="B70" s="325" t="s">
        <v>703</v>
      </c>
      <c r="C70" s="325" t="s">
        <v>703</v>
      </c>
      <c r="D70" s="326" t="s">
        <v>267</v>
      </c>
      <c r="E70" s="117" t="s">
        <v>726</v>
      </c>
      <c r="F70" s="326" t="s">
        <v>633</v>
      </c>
    </row>
    <row r="71" spans="1:6" x14ac:dyDescent="0.25">
      <c r="A71" s="324" t="s">
        <v>583</v>
      </c>
      <c r="B71" s="327" t="s">
        <v>703</v>
      </c>
      <c r="C71" s="327" t="s">
        <v>714</v>
      </c>
      <c r="D71" s="328" t="s">
        <v>603</v>
      </c>
      <c r="E71" s="117" t="s">
        <v>726</v>
      </c>
      <c r="F71" s="328" t="s">
        <v>633</v>
      </c>
    </row>
    <row r="72" spans="1:6" x14ac:dyDescent="0.25">
      <c r="A72" s="324" t="s">
        <v>583</v>
      </c>
      <c r="B72" s="327" t="s">
        <v>695</v>
      </c>
      <c r="C72" s="327" t="s">
        <v>715</v>
      </c>
      <c r="D72" s="328" t="s">
        <v>267</v>
      </c>
      <c r="E72" s="117" t="s">
        <v>726</v>
      </c>
      <c r="F72" s="328" t="s">
        <v>633</v>
      </c>
    </row>
    <row r="73" spans="1:6" x14ac:dyDescent="0.25">
      <c r="A73" s="324" t="s">
        <v>583</v>
      </c>
      <c r="B73" s="327" t="s">
        <v>705</v>
      </c>
      <c r="C73" s="327" t="s">
        <v>718</v>
      </c>
      <c r="D73" s="328" t="s">
        <v>267</v>
      </c>
      <c r="E73" s="117" t="s">
        <v>726</v>
      </c>
      <c r="F73" s="328" t="s">
        <v>633</v>
      </c>
    </row>
    <row r="74" spans="1:6" x14ac:dyDescent="0.25">
      <c r="A74" s="187"/>
      <c r="B74" s="87"/>
      <c r="C74" s="87"/>
      <c r="D74" s="230"/>
      <c r="E74" s="230"/>
      <c r="F74" s="230"/>
    </row>
    <row r="75" spans="1:6" ht="16.5" thickBot="1" x14ac:dyDescent="0.3">
      <c r="A75" s="333" t="s">
        <v>29</v>
      </c>
      <c r="B75" s="87"/>
      <c r="C75" s="87"/>
      <c r="D75" s="230"/>
      <c r="E75" s="230"/>
      <c r="F75" s="230"/>
    </row>
    <row r="76" spans="1:6" ht="26.25" thickBot="1" x14ac:dyDescent="0.3">
      <c r="A76" s="323" t="s">
        <v>30</v>
      </c>
      <c r="B76" s="146" t="s">
        <v>57</v>
      </c>
      <c r="C76" s="146" t="s">
        <v>98</v>
      </c>
      <c r="D76" s="146" t="s">
        <v>94</v>
      </c>
      <c r="E76" s="146" t="s">
        <v>74</v>
      </c>
      <c r="F76" s="164" t="s">
        <v>75</v>
      </c>
    </row>
    <row r="77" spans="1:6" ht="26.25" x14ac:dyDescent="0.25">
      <c r="A77" s="189" t="s">
        <v>243</v>
      </c>
      <c r="B77" s="189" t="s">
        <v>706</v>
      </c>
      <c r="C77" s="189" t="s">
        <v>706</v>
      </c>
      <c r="D77" s="117" t="s">
        <v>603</v>
      </c>
      <c r="E77" s="117" t="s">
        <v>726</v>
      </c>
      <c r="F77" s="117" t="s">
        <v>640</v>
      </c>
    </row>
    <row r="78" spans="1:6" x14ac:dyDescent="0.25">
      <c r="A78" s="189" t="s">
        <v>243</v>
      </c>
      <c r="B78" s="57" t="s">
        <v>694</v>
      </c>
      <c r="C78" s="182" t="s">
        <v>721</v>
      </c>
      <c r="D78" s="117" t="s">
        <v>632</v>
      </c>
      <c r="E78" s="117" t="s">
        <v>726</v>
      </c>
      <c r="F78" s="117" t="s">
        <v>640</v>
      </c>
    </row>
    <row r="79" spans="1:6" x14ac:dyDescent="0.25">
      <c r="A79" s="189" t="s">
        <v>243</v>
      </c>
      <c r="B79" s="57" t="s">
        <v>697</v>
      </c>
      <c r="C79" s="57" t="s">
        <v>697</v>
      </c>
      <c r="D79" s="117" t="s">
        <v>603</v>
      </c>
      <c r="E79" s="117" t="s">
        <v>726</v>
      </c>
      <c r="F79" s="117" t="s">
        <v>640</v>
      </c>
    </row>
    <row r="80" spans="1:6" x14ac:dyDescent="0.25">
      <c r="A80" s="189" t="s">
        <v>243</v>
      </c>
      <c r="B80" s="57" t="s">
        <v>707</v>
      </c>
      <c r="C80" s="57" t="s">
        <v>707</v>
      </c>
      <c r="D80" s="117" t="s">
        <v>603</v>
      </c>
      <c r="E80" s="117" t="s">
        <v>726</v>
      </c>
      <c r="F80" s="117" t="s">
        <v>640</v>
      </c>
    </row>
    <row r="81" spans="1:6" x14ac:dyDescent="0.25">
      <c r="A81" s="189" t="s">
        <v>243</v>
      </c>
      <c r="B81" s="57" t="s">
        <v>708</v>
      </c>
      <c r="C81" s="57" t="s">
        <v>722</v>
      </c>
      <c r="D81" s="117" t="s">
        <v>603</v>
      </c>
      <c r="E81" s="117" t="s">
        <v>726</v>
      </c>
      <c r="F81" s="117" t="s">
        <v>640</v>
      </c>
    </row>
    <row r="82" spans="1:6" x14ac:dyDescent="0.25">
      <c r="A82" s="189" t="s">
        <v>243</v>
      </c>
      <c r="B82" s="57" t="s">
        <v>709</v>
      </c>
      <c r="C82" s="182" t="s">
        <v>709</v>
      </c>
      <c r="D82" s="117" t="s">
        <v>603</v>
      </c>
      <c r="E82" s="117" t="s">
        <v>726</v>
      </c>
      <c r="F82" s="117" t="s">
        <v>640</v>
      </c>
    </row>
    <row r="83" spans="1:6" ht="27.75" customHeight="1" x14ac:dyDescent="0.25">
      <c r="A83" s="324" t="s">
        <v>691</v>
      </c>
      <c r="B83" s="325" t="s">
        <v>610</v>
      </c>
      <c r="C83" s="325" t="s">
        <v>610</v>
      </c>
      <c r="D83" s="326" t="s">
        <v>603</v>
      </c>
      <c r="E83" s="326" t="s">
        <v>727</v>
      </c>
      <c r="F83" s="326" t="s">
        <v>640</v>
      </c>
    </row>
    <row r="84" spans="1:6" ht="27" customHeight="1" x14ac:dyDescent="0.25">
      <c r="A84" s="324" t="s">
        <v>691</v>
      </c>
      <c r="B84" s="327" t="s">
        <v>612</v>
      </c>
      <c r="C84" s="327" t="s">
        <v>612</v>
      </c>
      <c r="D84" s="328" t="s">
        <v>603</v>
      </c>
      <c r="E84" s="328" t="s">
        <v>727</v>
      </c>
      <c r="F84" s="328" t="s">
        <v>640</v>
      </c>
    </row>
    <row r="85" spans="1:6" ht="26.25" customHeight="1" x14ac:dyDescent="0.25">
      <c r="A85" s="324" t="s">
        <v>691</v>
      </c>
      <c r="B85" s="327" t="s">
        <v>608</v>
      </c>
      <c r="C85" s="327" t="s">
        <v>608</v>
      </c>
      <c r="D85" s="328" t="s">
        <v>603</v>
      </c>
      <c r="E85" s="328" t="s">
        <v>727</v>
      </c>
      <c r="F85" s="328" t="s">
        <v>640</v>
      </c>
    </row>
    <row r="86" spans="1:6" x14ac:dyDescent="0.25">
      <c r="A86" s="332" t="s">
        <v>251</v>
      </c>
      <c r="B86" s="324" t="s">
        <v>627</v>
      </c>
      <c r="C86" s="325" t="s">
        <v>627</v>
      </c>
      <c r="D86" s="328" t="s">
        <v>603</v>
      </c>
      <c r="E86" s="326" t="s">
        <v>726</v>
      </c>
      <c r="F86" s="326" t="s">
        <v>640</v>
      </c>
    </row>
    <row r="87" spans="1:6" x14ac:dyDescent="0.25">
      <c r="A87" s="332" t="s">
        <v>251</v>
      </c>
      <c r="B87" s="324" t="s">
        <v>627</v>
      </c>
      <c r="C87" s="327" t="s">
        <v>723</v>
      </c>
      <c r="D87" s="328" t="s">
        <v>603</v>
      </c>
      <c r="E87" s="326" t="s">
        <v>726</v>
      </c>
      <c r="F87" s="326" t="s">
        <v>640</v>
      </c>
    </row>
    <row r="88" spans="1:6" x14ac:dyDescent="0.25">
      <c r="A88" s="332" t="s">
        <v>251</v>
      </c>
      <c r="B88" s="332" t="s">
        <v>641</v>
      </c>
      <c r="C88" s="327" t="s">
        <v>724</v>
      </c>
      <c r="D88" s="328" t="s">
        <v>603</v>
      </c>
      <c r="E88" s="326" t="s">
        <v>726</v>
      </c>
      <c r="F88" s="326" t="s">
        <v>640</v>
      </c>
    </row>
    <row r="89" spans="1:6" x14ac:dyDescent="0.25">
      <c r="A89" s="332" t="s">
        <v>251</v>
      </c>
      <c r="B89" s="332" t="s">
        <v>641</v>
      </c>
      <c r="C89" s="327" t="s">
        <v>725</v>
      </c>
      <c r="D89" s="328" t="s">
        <v>603</v>
      </c>
      <c r="E89" s="326" t="s">
        <v>726</v>
      </c>
      <c r="F89" s="326" t="s">
        <v>640</v>
      </c>
    </row>
    <row r="90" spans="1:6" x14ac:dyDescent="0.25">
      <c r="A90" s="324" t="s">
        <v>692</v>
      </c>
      <c r="B90" s="325" t="s">
        <v>710</v>
      </c>
      <c r="C90" s="325" t="s">
        <v>22</v>
      </c>
      <c r="D90" s="326" t="s">
        <v>603</v>
      </c>
      <c r="E90" s="326" t="s">
        <v>726</v>
      </c>
      <c r="F90" s="326" t="s">
        <v>640</v>
      </c>
    </row>
    <row r="91" spans="1:6" x14ac:dyDescent="0.25">
      <c r="A91" s="324" t="s">
        <v>692</v>
      </c>
      <c r="B91" s="327" t="s">
        <v>711</v>
      </c>
      <c r="C91" s="327" t="s">
        <v>22</v>
      </c>
      <c r="D91" s="328" t="s">
        <v>603</v>
      </c>
      <c r="E91" s="326" t="s">
        <v>726</v>
      </c>
      <c r="F91" s="328" t="s">
        <v>640</v>
      </c>
    </row>
    <row r="92" spans="1:6" x14ac:dyDescent="0.25">
      <c r="A92" s="324" t="s">
        <v>692</v>
      </c>
      <c r="B92" s="327" t="s">
        <v>712</v>
      </c>
      <c r="C92" s="327" t="s">
        <v>22</v>
      </c>
      <c r="D92" s="328" t="s">
        <v>603</v>
      </c>
      <c r="E92" s="326" t="s">
        <v>726</v>
      </c>
      <c r="F92" s="328" t="s">
        <v>640</v>
      </c>
    </row>
    <row r="93" spans="1:6" x14ac:dyDescent="0.25">
      <c r="A93" s="324" t="s">
        <v>258</v>
      </c>
      <c r="B93" s="325" t="s">
        <v>703</v>
      </c>
      <c r="C93" s="325" t="s">
        <v>703</v>
      </c>
      <c r="D93" s="326" t="s">
        <v>603</v>
      </c>
      <c r="E93" s="326" t="s">
        <v>726</v>
      </c>
      <c r="F93" s="326" t="s">
        <v>640</v>
      </c>
    </row>
    <row r="94" spans="1:6" x14ac:dyDescent="0.25">
      <c r="A94" s="324" t="s">
        <v>258</v>
      </c>
      <c r="B94" s="327" t="s">
        <v>709</v>
      </c>
      <c r="C94" s="327" t="s">
        <v>709</v>
      </c>
      <c r="D94" s="328" t="s">
        <v>603</v>
      </c>
      <c r="E94" s="328" t="s">
        <v>601</v>
      </c>
      <c r="F94" s="328" t="s">
        <v>640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topLeftCell="A10" zoomScaleNormal="130" zoomScaleSheetLayoutView="100" workbookViewId="0">
      <selection activeCell="G14" sqref="G14"/>
    </sheetView>
  </sheetViews>
  <sheetFormatPr defaultRowHeight="15.75" x14ac:dyDescent="0.25"/>
  <cols>
    <col min="1" max="1" width="11.25" customWidth="1"/>
    <col min="2" max="2" width="15.125" customWidth="1"/>
    <col min="3" max="3" width="20.375" customWidth="1"/>
    <col min="4" max="4" width="22" customWidth="1"/>
    <col min="5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35" t="s">
        <v>729</v>
      </c>
      <c r="B1" s="435"/>
      <c r="C1" s="435"/>
      <c r="D1" s="435"/>
      <c r="E1" s="435"/>
      <c r="F1" s="435"/>
      <c r="G1" s="435"/>
      <c r="H1" s="435"/>
      <c r="I1" s="19"/>
    </row>
    <row r="2" spans="1:9" ht="29.25" customHeight="1" thickBot="1" x14ac:dyDescent="0.35">
      <c r="A2" s="94" t="s">
        <v>76</v>
      </c>
      <c r="B2" s="337"/>
      <c r="C2" s="337"/>
      <c r="D2" s="337"/>
      <c r="E2" s="337"/>
      <c r="F2" s="337"/>
      <c r="G2" s="337"/>
      <c r="H2" s="337"/>
      <c r="I2" s="53"/>
    </row>
    <row r="3" spans="1:9" ht="26.25" thickBot="1" x14ac:dyDescent="0.3">
      <c r="A3" s="154" t="s">
        <v>30</v>
      </c>
      <c r="B3" s="146" t="s">
        <v>26</v>
      </c>
      <c r="C3" s="146" t="s">
        <v>57</v>
      </c>
      <c r="D3" s="146" t="s">
        <v>98</v>
      </c>
      <c r="E3" s="146" t="s">
        <v>94</v>
      </c>
      <c r="F3" s="146" t="s">
        <v>74</v>
      </c>
      <c r="G3" s="146" t="s">
        <v>75</v>
      </c>
      <c r="H3" s="164" t="s">
        <v>77</v>
      </c>
      <c r="I3" s="18"/>
    </row>
    <row r="4" spans="1:9" x14ac:dyDescent="0.25">
      <c r="A4" s="338" t="s">
        <v>243</v>
      </c>
      <c r="B4" s="108" t="s">
        <v>642</v>
      </c>
      <c r="C4" s="346" t="s">
        <v>701</v>
      </c>
      <c r="D4" s="346" t="s">
        <v>701</v>
      </c>
      <c r="E4" s="108" t="s">
        <v>267</v>
      </c>
      <c r="F4" s="108" t="s">
        <v>726</v>
      </c>
      <c r="G4" s="108" t="s">
        <v>602</v>
      </c>
      <c r="H4" s="339">
        <v>42307</v>
      </c>
      <c r="I4" s="18"/>
    </row>
    <row r="5" spans="1:9" ht="38.25" x14ac:dyDescent="0.25">
      <c r="A5" s="338" t="s">
        <v>243</v>
      </c>
      <c r="B5" s="108" t="s">
        <v>643</v>
      </c>
      <c r="C5" s="346" t="s">
        <v>698</v>
      </c>
      <c r="D5" s="346" t="s">
        <v>720</v>
      </c>
      <c r="E5" s="108" t="s">
        <v>267</v>
      </c>
      <c r="F5" s="108" t="s">
        <v>726</v>
      </c>
      <c r="G5" s="108" t="s">
        <v>633</v>
      </c>
      <c r="H5" s="339">
        <v>42307</v>
      </c>
      <c r="I5" s="18"/>
    </row>
    <row r="6" spans="1:9" x14ac:dyDescent="0.25">
      <c r="A6" s="338" t="s">
        <v>243</v>
      </c>
      <c r="B6" s="108" t="s">
        <v>643</v>
      </c>
      <c r="C6" s="346" t="s">
        <v>699</v>
      </c>
      <c r="D6" s="346" t="s">
        <v>699</v>
      </c>
      <c r="E6" s="108" t="s">
        <v>267</v>
      </c>
      <c r="F6" s="108" t="s">
        <v>726</v>
      </c>
      <c r="G6" s="108" t="s">
        <v>633</v>
      </c>
      <c r="H6" s="339">
        <v>42307</v>
      </c>
      <c r="I6" s="18"/>
    </row>
    <row r="7" spans="1:9" x14ac:dyDescent="0.25">
      <c r="A7" s="338" t="s">
        <v>243</v>
      </c>
      <c r="B7" s="108" t="s">
        <v>643</v>
      </c>
      <c r="C7" s="79" t="s">
        <v>695</v>
      </c>
      <c r="D7" s="346" t="s">
        <v>719</v>
      </c>
      <c r="E7" s="108" t="s">
        <v>267</v>
      </c>
      <c r="F7" s="108" t="s">
        <v>731</v>
      </c>
      <c r="G7" s="108" t="s">
        <v>633</v>
      </c>
      <c r="H7" s="339">
        <v>42307</v>
      </c>
      <c r="I7" s="18"/>
    </row>
    <row r="8" spans="1:9" x14ac:dyDescent="0.25">
      <c r="A8" s="338" t="s">
        <v>243</v>
      </c>
      <c r="B8" s="65" t="s">
        <v>643</v>
      </c>
      <c r="C8" s="347" t="s">
        <v>695</v>
      </c>
      <c r="D8" s="346" t="s">
        <v>719</v>
      </c>
      <c r="E8" s="65" t="s">
        <v>644</v>
      </c>
      <c r="F8" s="108" t="s">
        <v>731</v>
      </c>
      <c r="G8" s="65" t="s">
        <v>633</v>
      </c>
      <c r="H8" s="340">
        <v>42307</v>
      </c>
      <c r="I8" s="18"/>
    </row>
    <row r="9" spans="1:9" x14ac:dyDescent="0.25">
      <c r="A9" s="338" t="s">
        <v>243</v>
      </c>
      <c r="B9" s="119" t="s">
        <v>645</v>
      </c>
      <c r="C9" s="348" t="s">
        <v>730</v>
      </c>
      <c r="D9" s="59" t="s">
        <v>709</v>
      </c>
      <c r="E9" s="119" t="s">
        <v>646</v>
      </c>
      <c r="F9" s="119" t="s">
        <v>726</v>
      </c>
      <c r="G9" s="58" t="s">
        <v>640</v>
      </c>
      <c r="H9" s="369">
        <v>42307</v>
      </c>
      <c r="I9" s="18"/>
    </row>
    <row r="10" spans="1:9" ht="42" customHeight="1" x14ac:dyDescent="0.25">
      <c r="A10" s="349" t="s">
        <v>682</v>
      </c>
      <c r="B10" s="341" t="s">
        <v>642</v>
      </c>
      <c r="C10" s="336" t="s">
        <v>647</v>
      </c>
      <c r="D10" s="350" t="s">
        <v>648</v>
      </c>
      <c r="E10" s="342" t="s">
        <v>603</v>
      </c>
      <c r="F10" s="58" t="s">
        <v>726</v>
      </c>
      <c r="G10" s="342" t="s">
        <v>602</v>
      </c>
      <c r="H10" s="343">
        <v>42247</v>
      </c>
      <c r="I10" s="18"/>
    </row>
    <row r="11" spans="1:9" x14ac:dyDescent="0.25">
      <c r="A11" s="87"/>
      <c r="B11" s="87"/>
      <c r="C11" s="87"/>
      <c r="D11" s="87"/>
      <c r="E11" s="87"/>
      <c r="F11" s="87"/>
      <c r="G11" s="87"/>
      <c r="H11" s="87"/>
      <c r="I11" s="4"/>
    </row>
    <row r="12" spans="1:9" ht="24.75" customHeight="1" thickBot="1" x14ac:dyDescent="0.3">
      <c r="A12" s="166" t="s">
        <v>115</v>
      </c>
      <c r="B12" s="87"/>
      <c r="C12" s="87"/>
      <c r="D12" s="87"/>
      <c r="E12" s="87"/>
      <c r="F12" s="87"/>
      <c r="G12" s="87"/>
      <c r="H12" s="87"/>
      <c r="I12" s="4"/>
    </row>
    <row r="13" spans="1:9" ht="51.75" thickBot="1" x14ac:dyDescent="0.3">
      <c r="A13" s="154" t="s">
        <v>30</v>
      </c>
      <c r="B13" s="146" t="s">
        <v>26</v>
      </c>
      <c r="C13" s="146" t="s">
        <v>57</v>
      </c>
      <c r="D13" s="146" t="s">
        <v>98</v>
      </c>
      <c r="E13" s="146" t="s">
        <v>94</v>
      </c>
      <c r="F13" s="146" t="s">
        <v>74</v>
      </c>
      <c r="G13" s="146" t="s">
        <v>75</v>
      </c>
      <c r="H13" s="164" t="s">
        <v>114</v>
      </c>
      <c r="I13" s="17"/>
    </row>
    <row r="14" spans="1:9" x14ac:dyDescent="0.25">
      <c r="A14" s="346" t="s">
        <v>243</v>
      </c>
      <c r="B14" s="119" t="s">
        <v>645</v>
      </c>
      <c r="C14" s="69" t="s">
        <v>730</v>
      </c>
      <c r="D14" s="69" t="s">
        <v>709</v>
      </c>
      <c r="E14" s="58" t="s">
        <v>632</v>
      </c>
      <c r="F14" s="58" t="s">
        <v>726</v>
      </c>
      <c r="G14" s="58" t="s">
        <v>640</v>
      </c>
      <c r="H14" s="369">
        <v>42307</v>
      </c>
      <c r="I14" s="17"/>
    </row>
    <row r="15" spans="1:9" ht="38.25" x14ac:dyDescent="0.25">
      <c r="A15" s="349" t="s">
        <v>258</v>
      </c>
      <c r="B15" s="342" t="s">
        <v>642</v>
      </c>
      <c r="C15" s="368" t="s">
        <v>732</v>
      </c>
      <c r="D15" s="368" t="s">
        <v>718</v>
      </c>
      <c r="E15" s="342" t="s">
        <v>267</v>
      </c>
      <c r="F15" s="58" t="s">
        <v>726</v>
      </c>
      <c r="G15" s="341" t="s">
        <v>602</v>
      </c>
      <c r="H15" s="343">
        <v>42307</v>
      </c>
      <c r="I15" s="17"/>
    </row>
    <row r="16" spans="1:9" ht="38.25" x14ac:dyDescent="0.25">
      <c r="A16" s="349" t="s">
        <v>258</v>
      </c>
      <c r="B16" s="342" t="s">
        <v>643</v>
      </c>
      <c r="C16" s="368" t="s">
        <v>732</v>
      </c>
      <c r="D16" s="368" t="s">
        <v>718</v>
      </c>
      <c r="E16" s="342" t="s">
        <v>267</v>
      </c>
      <c r="F16" s="58" t="s">
        <v>726</v>
      </c>
      <c r="G16" s="341" t="s">
        <v>633</v>
      </c>
      <c r="H16" s="343">
        <v>42307</v>
      </c>
      <c r="I16" s="17"/>
    </row>
    <row r="17" spans="1:9" ht="28.5" customHeight="1" x14ac:dyDescent="0.25">
      <c r="A17" s="350" t="s">
        <v>258</v>
      </c>
      <c r="B17" s="344" t="s">
        <v>642</v>
      </c>
      <c r="C17" s="368" t="s">
        <v>733</v>
      </c>
      <c r="D17" s="368" t="s">
        <v>713</v>
      </c>
      <c r="E17" s="342" t="s">
        <v>267</v>
      </c>
      <c r="F17" s="58" t="s">
        <v>726</v>
      </c>
      <c r="G17" s="342" t="s">
        <v>602</v>
      </c>
      <c r="H17" s="345">
        <v>42307</v>
      </c>
      <c r="I17" s="17"/>
    </row>
    <row r="18" spans="1:9" x14ac:dyDescent="0.25">
      <c r="A18" s="87"/>
      <c r="B18" s="87"/>
      <c r="C18" s="87"/>
      <c r="D18" s="87"/>
      <c r="E18" s="87"/>
      <c r="F18" s="87"/>
      <c r="G18" s="87"/>
      <c r="H18" s="87"/>
      <c r="I18" s="4"/>
    </row>
    <row r="19" spans="1:9" x14ac:dyDescent="0.25">
      <c r="A19" s="87"/>
      <c r="B19" s="87"/>
      <c r="C19" s="87"/>
      <c r="D19" s="87"/>
      <c r="E19" s="87"/>
      <c r="F19" s="87"/>
      <c r="G19" s="87"/>
      <c r="H19" s="8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zoomScaleSheetLayoutView="100" workbookViewId="0">
      <selection activeCell="B5" sqref="B5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74" t="s">
        <v>232</v>
      </c>
      <c r="B1" s="474"/>
    </row>
    <row r="2" spans="1:2" s="1" customFormat="1" ht="16.5" thickBot="1" x14ac:dyDescent="0.3">
      <c r="A2" s="351" t="s">
        <v>30</v>
      </c>
      <c r="B2" s="352" t="s">
        <v>78</v>
      </c>
    </row>
    <row r="3" spans="1:2" x14ac:dyDescent="0.25">
      <c r="A3" s="357" t="s">
        <v>243</v>
      </c>
      <c r="B3" s="357" t="s">
        <v>244</v>
      </c>
    </row>
    <row r="4" spans="1:2" x14ac:dyDescent="0.25">
      <c r="A4" s="357" t="s">
        <v>243</v>
      </c>
      <c r="B4" s="357" t="s">
        <v>245</v>
      </c>
    </row>
    <row r="5" spans="1:2" x14ac:dyDescent="0.25">
      <c r="A5" s="357" t="s">
        <v>246</v>
      </c>
      <c r="B5" s="357" t="s">
        <v>247</v>
      </c>
    </row>
    <row r="6" spans="1:2" x14ac:dyDescent="0.25">
      <c r="A6" s="357" t="s">
        <v>246</v>
      </c>
      <c r="B6" s="357" t="s">
        <v>248</v>
      </c>
    </row>
    <row r="7" spans="1:2" x14ac:dyDescent="0.25">
      <c r="A7" s="370" t="s">
        <v>249</v>
      </c>
      <c r="B7" s="370" t="s">
        <v>250</v>
      </c>
    </row>
    <row r="8" spans="1:2" x14ac:dyDescent="0.25">
      <c r="A8" s="370" t="s">
        <v>251</v>
      </c>
      <c r="B8" s="370" t="s">
        <v>252</v>
      </c>
    </row>
    <row r="9" spans="1:2" x14ac:dyDescent="0.25">
      <c r="A9" s="357" t="s">
        <v>251</v>
      </c>
      <c r="B9" s="357" t="s">
        <v>253</v>
      </c>
    </row>
    <row r="10" spans="1:2" x14ac:dyDescent="0.25">
      <c r="A10" s="370" t="s">
        <v>254</v>
      </c>
      <c r="B10" s="357" t="s">
        <v>255</v>
      </c>
    </row>
    <row r="11" spans="1:2" x14ac:dyDescent="0.25">
      <c r="A11" s="370" t="s">
        <v>254</v>
      </c>
      <c r="B11" s="370" t="s">
        <v>256</v>
      </c>
    </row>
    <row r="12" spans="1:2" x14ac:dyDescent="0.25">
      <c r="A12" s="370" t="s">
        <v>254</v>
      </c>
      <c r="B12" s="357" t="s">
        <v>257</v>
      </c>
    </row>
    <row r="13" spans="1:2" x14ac:dyDescent="0.25">
      <c r="A13" s="370" t="s">
        <v>258</v>
      </c>
      <c r="B13" s="370" t="s">
        <v>244</v>
      </c>
    </row>
    <row r="14" spans="1:2" x14ac:dyDescent="0.25">
      <c r="A14" s="357" t="s">
        <v>258</v>
      </c>
      <c r="B14" s="357" t="s">
        <v>259</v>
      </c>
    </row>
    <row r="15" spans="1:2" x14ac:dyDescent="0.25">
      <c r="A15" s="357" t="s">
        <v>260</v>
      </c>
      <c r="B15" s="357" t="s">
        <v>261</v>
      </c>
    </row>
    <row r="16" spans="1:2" x14ac:dyDescent="0.25">
      <c r="A16" s="370" t="s">
        <v>260</v>
      </c>
      <c r="B16" s="370" t="s">
        <v>262</v>
      </c>
    </row>
    <row r="17" spans="1:2" x14ac:dyDescent="0.25">
      <c r="A17" s="357" t="s">
        <v>260</v>
      </c>
      <c r="B17" s="357" t="s">
        <v>263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Normal="100" zoomScaleSheetLayoutView="100" workbookViewId="0">
      <selection activeCell="A4" sqref="A4:C4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74" t="s">
        <v>734</v>
      </c>
      <c r="B1" s="474"/>
      <c r="C1" s="474"/>
    </row>
    <row r="2" spans="1:3" ht="24" customHeight="1" thickBot="1" x14ac:dyDescent="0.3">
      <c r="A2" s="353" t="s">
        <v>76</v>
      </c>
      <c r="B2" s="94"/>
      <c r="C2" s="94"/>
    </row>
    <row r="3" spans="1:3" ht="16.5" thickBot="1" x14ac:dyDescent="0.3">
      <c r="A3" s="354" t="s">
        <v>30</v>
      </c>
      <c r="B3" s="355" t="s">
        <v>78</v>
      </c>
      <c r="C3" s="356" t="s">
        <v>77</v>
      </c>
    </row>
    <row r="4" spans="1:3" x14ac:dyDescent="0.25">
      <c r="A4" s="370" t="s">
        <v>251</v>
      </c>
      <c r="B4" s="357" t="s">
        <v>253</v>
      </c>
      <c r="C4" s="371">
        <v>42307</v>
      </c>
    </row>
    <row r="5" spans="1:3" x14ac:dyDescent="0.25">
      <c r="A5" s="87"/>
      <c r="B5" s="87"/>
      <c r="C5" s="87"/>
    </row>
    <row r="6" spans="1:3" ht="16.5" thickBot="1" x14ac:dyDescent="0.3">
      <c r="A6" s="166" t="s">
        <v>115</v>
      </c>
      <c r="B6" s="87"/>
      <c r="C6" s="87"/>
    </row>
    <row r="7" spans="1:3" ht="16.5" thickBot="1" x14ac:dyDescent="0.3">
      <c r="A7" s="354" t="s">
        <v>30</v>
      </c>
      <c r="B7" s="355" t="s">
        <v>78</v>
      </c>
      <c r="C7" s="356" t="s">
        <v>99</v>
      </c>
    </row>
    <row r="8" spans="1:3" x14ac:dyDescent="0.25">
      <c r="A8" s="179"/>
      <c r="B8" s="179"/>
      <c r="C8" s="179"/>
    </row>
    <row r="9" spans="1:3" x14ac:dyDescent="0.25">
      <c r="A9" s="57"/>
      <c r="B9" s="57"/>
      <c r="C9" s="57"/>
    </row>
    <row r="10" spans="1:3" x14ac:dyDescent="0.25">
      <c r="A10" s="57"/>
      <c r="B10" s="57"/>
      <c r="C10" s="57"/>
    </row>
    <row r="11" spans="1:3" x14ac:dyDescent="0.25">
      <c r="A11" s="57"/>
      <c r="B11" s="57"/>
      <c r="C11" s="57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view="pageBreakPreview" topLeftCell="A85" zoomScaleNormal="100" zoomScaleSheetLayoutView="100" workbookViewId="0">
      <selection activeCell="I77" sqref="I77"/>
    </sheetView>
  </sheetViews>
  <sheetFormatPr defaultRowHeight="15.75" x14ac:dyDescent="0.25"/>
  <cols>
    <col min="1" max="1" width="3.75" customWidth="1"/>
    <col min="2" max="2" width="6.625" customWidth="1"/>
    <col min="3" max="3" width="11.875" customWidth="1"/>
    <col min="4" max="4" width="5" customWidth="1"/>
    <col min="5" max="5" width="4.875" customWidth="1"/>
    <col min="6" max="6" width="13.375" customWidth="1"/>
    <col min="7" max="7" width="17.375" customWidth="1"/>
    <col min="8" max="8" width="42.625" customWidth="1"/>
    <col min="9" max="9" width="12.5" customWidth="1"/>
    <col min="10" max="10" width="11.625" customWidth="1"/>
    <col min="11" max="11" width="9.875" customWidth="1"/>
    <col min="12" max="12" width="10.5" customWidth="1"/>
  </cols>
  <sheetData>
    <row r="1" spans="1:12" ht="16.5" thickBot="1" x14ac:dyDescent="0.3">
      <c r="A1" s="512" t="s">
        <v>233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ht="167.25" customHeight="1" x14ac:dyDescent="0.25">
      <c r="A2" s="54" t="s">
        <v>100</v>
      </c>
      <c r="B2" s="55" t="s">
        <v>30</v>
      </c>
      <c r="C2" s="55" t="s">
        <v>143</v>
      </c>
      <c r="D2" s="55" t="s">
        <v>146</v>
      </c>
      <c r="E2" s="55" t="s">
        <v>145</v>
      </c>
      <c r="F2" s="55" t="s">
        <v>101</v>
      </c>
      <c r="G2" s="55" t="s">
        <v>102</v>
      </c>
      <c r="H2" s="55" t="s">
        <v>88</v>
      </c>
      <c r="I2" s="55" t="s">
        <v>103</v>
      </c>
      <c r="J2" s="55" t="s">
        <v>104</v>
      </c>
      <c r="K2" s="55" t="s">
        <v>105</v>
      </c>
      <c r="L2" s="56" t="s">
        <v>106</v>
      </c>
    </row>
    <row r="3" spans="1:12" ht="25.5" x14ac:dyDescent="0.25">
      <c r="A3" s="357">
        <v>1</v>
      </c>
      <c r="B3" s="58" t="s">
        <v>264</v>
      </c>
      <c r="C3" s="58" t="s">
        <v>265</v>
      </c>
      <c r="D3" s="58" t="s">
        <v>266</v>
      </c>
      <c r="E3" s="58" t="s">
        <v>267</v>
      </c>
      <c r="F3" s="59" t="s">
        <v>268</v>
      </c>
      <c r="G3" s="60" t="s">
        <v>269</v>
      </c>
      <c r="H3" s="60" t="s">
        <v>270</v>
      </c>
      <c r="I3" s="58" t="s">
        <v>271</v>
      </c>
      <c r="J3" s="61">
        <v>9777</v>
      </c>
      <c r="K3" s="62">
        <v>0</v>
      </c>
      <c r="L3" s="57"/>
    </row>
    <row r="4" spans="1:12" ht="25.5" x14ac:dyDescent="0.25">
      <c r="A4" s="357">
        <v>2</v>
      </c>
      <c r="B4" s="58" t="s">
        <v>264</v>
      </c>
      <c r="C4" s="58" t="s">
        <v>265</v>
      </c>
      <c r="D4" s="58" t="s">
        <v>266</v>
      </c>
      <c r="E4" s="58" t="s">
        <v>267</v>
      </c>
      <c r="F4" s="59" t="s">
        <v>272</v>
      </c>
      <c r="G4" s="60" t="s">
        <v>273</v>
      </c>
      <c r="H4" s="60" t="s">
        <v>274</v>
      </c>
      <c r="I4" s="58" t="s">
        <v>271</v>
      </c>
      <c r="J4" s="61">
        <v>4893</v>
      </c>
      <c r="K4" s="62">
        <v>0</v>
      </c>
      <c r="L4" s="57"/>
    </row>
    <row r="5" spans="1:12" ht="25.5" x14ac:dyDescent="0.25">
      <c r="A5" s="357">
        <v>3</v>
      </c>
      <c r="B5" s="58" t="s">
        <v>264</v>
      </c>
      <c r="C5" s="58" t="s">
        <v>265</v>
      </c>
      <c r="D5" s="58" t="s">
        <v>266</v>
      </c>
      <c r="E5" s="58" t="s">
        <v>267</v>
      </c>
      <c r="F5" s="59" t="s">
        <v>275</v>
      </c>
      <c r="G5" s="60" t="s">
        <v>276</v>
      </c>
      <c r="H5" s="60" t="s">
        <v>277</v>
      </c>
      <c r="I5" s="58" t="s">
        <v>271</v>
      </c>
      <c r="J5" s="61">
        <v>3115</v>
      </c>
      <c r="K5" s="62">
        <v>0</v>
      </c>
      <c r="L5" s="57"/>
    </row>
    <row r="6" spans="1:12" ht="25.5" x14ac:dyDescent="0.25">
      <c r="A6" s="357">
        <v>4</v>
      </c>
      <c r="B6" s="58" t="s">
        <v>264</v>
      </c>
      <c r="C6" s="58" t="s">
        <v>265</v>
      </c>
      <c r="D6" s="58" t="s">
        <v>266</v>
      </c>
      <c r="E6" s="58" t="s">
        <v>267</v>
      </c>
      <c r="F6" s="59" t="s">
        <v>278</v>
      </c>
      <c r="G6" s="60" t="s">
        <v>279</v>
      </c>
      <c r="H6" s="60" t="s">
        <v>280</v>
      </c>
      <c r="I6" s="58" t="s">
        <v>271</v>
      </c>
      <c r="J6" s="61">
        <v>4506</v>
      </c>
      <c r="K6" s="62">
        <v>0</v>
      </c>
      <c r="L6" s="57"/>
    </row>
    <row r="7" spans="1:12" ht="25.5" x14ac:dyDescent="0.25">
      <c r="A7" s="357">
        <v>5</v>
      </c>
      <c r="B7" s="58" t="s">
        <v>264</v>
      </c>
      <c r="C7" s="58" t="s">
        <v>265</v>
      </c>
      <c r="D7" s="58" t="s">
        <v>266</v>
      </c>
      <c r="E7" s="58" t="s">
        <v>267</v>
      </c>
      <c r="F7" s="59" t="s">
        <v>281</v>
      </c>
      <c r="G7" s="60" t="s">
        <v>282</v>
      </c>
      <c r="H7" s="60" t="s">
        <v>283</v>
      </c>
      <c r="I7" s="58" t="s">
        <v>271</v>
      </c>
      <c r="J7" s="61">
        <v>4309</v>
      </c>
      <c r="K7" s="62">
        <v>0</v>
      </c>
      <c r="L7" s="57"/>
    </row>
    <row r="8" spans="1:12" ht="38.25" x14ac:dyDescent="0.25">
      <c r="A8" s="357">
        <v>6</v>
      </c>
      <c r="B8" s="58" t="s">
        <v>264</v>
      </c>
      <c r="C8" s="58" t="s">
        <v>265</v>
      </c>
      <c r="D8" s="58" t="s">
        <v>266</v>
      </c>
      <c r="E8" s="58" t="s">
        <v>267</v>
      </c>
      <c r="F8" s="59" t="s">
        <v>284</v>
      </c>
      <c r="G8" s="60" t="s">
        <v>285</v>
      </c>
      <c r="H8" s="60" t="s">
        <v>286</v>
      </c>
      <c r="I8" s="58" t="s">
        <v>287</v>
      </c>
      <c r="J8" s="61">
        <v>7760</v>
      </c>
      <c r="K8" s="62">
        <v>0</v>
      </c>
      <c r="L8" s="57"/>
    </row>
    <row r="9" spans="1:12" ht="38.25" x14ac:dyDescent="0.25">
      <c r="A9" s="357">
        <v>7</v>
      </c>
      <c r="B9" s="63" t="s">
        <v>264</v>
      </c>
      <c r="C9" s="63" t="s">
        <v>265</v>
      </c>
      <c r="D9" s="63" t="s">
        <v>266</v>
      </c>
      <c r="E9" s="63" t="s">
        <v>267</v>
      </c>
      <c r="F9" s="64" t="s">
        <v>288</v>
      </c>
      <c r="G9" s="64" t="s">
        <v>289</v>
      </c>
      <c r="H9" s="64" t="s">
        <v>290</v>
      </c>
      <c r="I9" s="63" t="s">
        <v>291</v>
      </c>
      <c r="J9" s="61">
        <v>5424</v>
      </c>
      <c r="K9" s="62">
        <v>0</v>
      </c>
      <c r="L9" s="57"/>
    </row>
    <row r="10" spans="1:12" ht="25.5" x14ac:dyDescent="0.25">
      <c r="A10" s="357">
        <v>8</v>
      </c>
      <c r="B10" s="63" t="s">
        <v>264</v>
      </c>
      <c r="C10" s="63" t="s">
        <v>265</v>
      </c>
      <c r="D10" s="63" t="s">
        <v>266</v>
      </c>
      <c r="E10" s="63" t="s">
        <v>267</v>
      </c>
      <c r="F10" s="64" t="s">
        <v>292</v>
      </c>
      <c r="G10" s="64" t="s">
        <v>293</v>
      </c>
      <c r="H10" s="64" t="s">
        <v>294</v>
      </c>
      <c r="I10" s="63" t="s">
        <v>291</v>
      </c>
      <c r="J10" s="61">
        <v>12326</v>
      </c>
      <c r="K10" s="62">
        <v>0</v>
      </c>
      <c r="L10" s="57"/>
    </row>
    <row r="11" spans="1:12" ht="38.25" x14ac:dyDescent="0.25">
      <c r="A11" s="357">
        <v>9</v>
      </c>
      <c r="B11" s="63" t="s">
        <v>264</v>
      </c>
      <c r="C11" s="63" t="s">
        <v>265</v>
      </c>
      <c r="D11" s="63" t="s">
        <v>266</v>
      </c>
      <c r="E11" s="63" t="s">
        <v>267</v>
      </c>
      <c r="F11" s="64" t="s">
        <v>295</v>
      </c>
      <c r="G11" s="64" t="s">
        <v>296</v>
      </c>
      <c r="H11" s="64" t="s">
        <v>297</v>
      </c>
      <c r="I11" s="63" t="s">
        <v>291</v>
      </c>
      <c r="J11" s="61">
        <v>3942</v>
      </c>
      <c r="K11" s="62">
        <v>0</v>
      </c>
      <c r="L11" s="57"/>
    </row>
    <row r="12" spans="1:12" ht="25.5" x14ac:dyDescent="0.25">
      <c r="A12" s="357">
        <v>10</v>
      </c>
      <c r="B12" s="63" t="s">
        <v>264</v>
      </c>
      <c r="C12" s="63" t="s">
        <v>265</v>
      </c>
      <c r="D12" s="63" t="s">
        <v>266</v>
      </c>
      <c r="E12" s="63" t="s">
        <v>267</v>
      </c>
      <c r="F12" s="64" t="s">
        <v>298</v>
      </c>
      <c r="G12" s="64" t="s">
        <v>299</v>
      </c>
      <c r="H12" s="64" t="s">
        <v>300</v>
      </c>
      <c r="I12" s="63" t="s">
        <v>291</v>
      </c>
      <c r="J12" s="61">
        <v>3588</v>
      </c>
      <c r="K12" s="62">
        <v>0</v>
      </c>
      <c r="L12" s="57"/>
    </row>
    <row r="13" spans="1:12" ht="25.5" x14ac:dyDescent="0.25">
      <c r="A13" s="357">
        <v>11</v>
      </c>
      <c r="B13" s="63" t="s">
        <v>264</v>
      </c>
      <c r="C13" s="63" t="s">
        <v>265</v>
      </c>
      <c r="D13" s="63" t="s">
        <v>266</v>
      </c>
      <c r="E13" s="63" t="s">
        <v>267</v>
      </c>
      <c r="F13" s="64" t="s">
        <v>301</v>
      </c>
      <c r="G13" s="64" t="s">
        <v>302</v>
      </c>
      <c r="H13" s="64" t="s">
        <v>303</v>
      </c>
      <c r="I13" s="63" t="s">
        <v>291</v>
      </c>
      <c r="J13" s="61">
        <v>2043</v>
      </c>
      <c r="K13" s="62">
        <v>0</v>
      </c>
      <c r="L13" s="57"/>
    </row>
    <row r="14" spans="1:12" ht="25.5" x14ac:dyDescent="0.25">
      <c r="A14" s="357">
        <v>12</v>
      </c>
      <c r="B14" s="63" t="s">
        <v>264</v>
      </c>
      <c r="C14" s="63" t="s">
        <v>265</v>
      </c>
      <c r="D14" s="63" t="s">
        <v>266</v>
      </c>
      <c r="E14" s="63" t="s">
        <v>267</v>
      </c>
      <c r="F14" s="64" t="s">
        <v>304</v>
      </c>
      <c r="G14" s="64" t="s">
        <v>305</v>
      </c>
      <c r="H14" s="64" t="s">
        <v>306</v>
      </c>
      <c r="I14" s="63" t="s">
        <v>291</v>
      </c>
      <c r="J14" s="61">
        <v>1376</v>
      </c>
      <c r="K14" s="62">
        <v>0</v>
      </c>
      <c r="L14" s="57"/>
    </row>
    <row r="15" spans="1:12" ht="25.5" x14ac:dyDescent="0.25">
      <c r="A15" s="357">
        <v>13</v>
      </c>
      <c r="B15" s="63" t="s">
        <v>264</v>
      </c>
      <c r="C15" s="63" t="s">
        <v>265</v>
      </c>
      <c r="D15" s="63" t="s">
        <v>266</v>
      </c>
      <c r="E15" s="63" t="s">
        <v>267</v>
      </c>
      <c r="F15" s="60" t="s">
        <v>307</v>
      </c>
      <c r="G15" s="60" t="s">
        <v>308</v>
      </c>
      <c r="H15" s="60" t="s">
        <v>309</v>
      </c>
      <c r="I15" s="65" t="s">
        <v>310</v>
      </c>
      <c r="J15" s="61">
        <v>5450</v>
      </c>
      <c r="K15" s="62">
        <v>0</v>
      </c>
      <c r="L15" s="57"/>
    </row>
    <row r="16" spans="1:12" ht="25.5" x14ac:dyDescent="0.25">
      <c r="A16" s="357">
        <v>14</v>
      </c>
      <c r="B16" s="63" t="s">
        <v>264</v>
      </c>
      <c r="C16" s="63" t="s">
        <v>265</v>
      </c>
      <c r="D16" s="63" t="s">
        <v>266</v>
      </c>
      <c r="E16" s="63" t="s">
        <v>267</v>
      </c>
      <c r="F16" s="59" t="s">
        <v>311</v>
      </c>
      <c r="G16" s="60" t="s">
        <v>312</v>
      </c>
      <c r="H16" s="60" t="s">
        <v>313</v>
      </c>
      <c r="I16" s="58" t="s">
        <v>310</v>
      </c>
      <c r="J16" s="66">
        <v>2030</v>
      </c>
      <c r="K16" s="62">
        <v>0</v>
      </c>
      <c r="L16" s="57"/>
    </row>
    <row r="17" spans="1:12" ht="25.5" x14ac:dyDescent="0.25">
      <c r="A17" s="357">
        <v>15</v>
      </c>
      <c r="B17" s="65" t="s">
        <v>314</v>
      </c>
      <c r="C17" s="65" t="s">
        <v>265</v>
      </c>
      <c r="D17" s="65" t="s">
        <v>266</v>
      </c>
      <c r="E17" s="65" t="s">
        <v>267</v>
      </c>
      <c r="F17" s="60" t="s">
        <v>315</v>
      </c>
      <c r="G17" s="60" t="s">
        <v>316</v>
      </c>
      <c r="H17" s="60" t="s">
        <v>317</v>
      </c>
      <c r="I17" s="65" t="s">
        <v>271</v>
      </c>
      <c r="J17" s="67">
        <v>13984</v>
      </c>
      <c r="K17" s="68">
        <v>0</v>
      </c>
      <c r="L17" s="65"/>
    </row>
    <row r="18" spans="1:12" ht="38.25" x14ac:dyDescent="0.25">
      <c r="A18" s="357">
        <v>16</v>
      </c>
      <c r="B18" s="65" t="s">
        <v>314</v>
      </c>
      <c r="C18" s="65" t="s">
        <v>265</v>
      </c>
      <c r="D18" s="65" t="s">
        <v>266</v>
      </c>
      <c r="E18" s="65" t="s">
        <v>267</v>
      </c>
      <c r="F18" s="60" t="s">
        <v>318</v>
      </c>
      <c r="G18" s="60" t="s">
        <v>319</v>
      </c>
      <c r="H18" s="60" t="s">
        <v>320</v>
      </c>
      <c r="I18" s="65" t="s">
        <v>271</v>
      </c>
      <c r="J18" s="67">
        <v>2234</v>
      </c>
      <c r="K18" s="68">
        <v>0</v>
      </c>
      <c r="L18" s="69" t="s">
        <v>321</v>
      </c>
    </row>
    <row r="19" spans="1:12" ht="63.75" x14ac:dyDescent="0.25">
      <c r="A19" s="357">
        <v>17</v>
      </c>
      <c r="B19" s="58" t="s">
        <v>314</v>
      </c>
      <c r="C19" s="58" t="s">
        <v>265</v>
      </c>
      <c r="D19" s="58" t="s">
        <v>266</v>
      </c>
      <c r="E19" s="58" t="s">
        <v>267</v>
      </c>
      <c r="F19" s="60" t="s">
        <v>322</v>
      </c>
      <c r="G19" s="60" t="s">
        <v>323</v>
      </c>
      <c r="H19" s="60" t="s">
        <v>324</v>
      </c>
      <c r="I19" s="65" t="s">
        <v>271</v>
      </c>
      <c r="J19" s="70">
        <v>1290</v>
      </c>
      <c r="K19" s="68">
        <v>0</v>
      </c>
      <c r="L19" s="57"/>
    </row>
    <row r="20" spans="1:12" ht="42.75" customHeight="1" x14ac:dyDescent="0.25">
      <c r="A20" s="357">
        <v>18</v>
      </c>
      <c r="B20" s="58" t="s">
        <v>314</v>
      </c>
      <c r="C20" s="58" t="s">
        <v>265</v>
      </c>
      <c r="D20" s="58" t="s">
        <v>266</v>
      </c>
      <c r="E20" s="58" t="s">
        <v>267</v>
      </c>
      <c r="F20" s="60" t="s">
        <v>325</v>
      </c>
      <c r="G20" s="60" t="s">
        <v>326</v>
      </c>
      <c r="H20" s="60" t="s">
        <v>327</v>
      </c>
      <c r="I20" s="58" t="s">
        <v>310</v>
      </c>
      <c r="J20" s="70">
        <v>6431</v>
      </c>
      <c r="K20" s="68">
        <v>0</v>
      </c>
      <c r="L20" s="57"/>
    </row>
    <row r="21" spans="1:12" ht="25.5" x14ac:dyDescent="0.25">
      <c r="A21" s="357">
        <v>19</v>
      </c>
      <c r="B21" s="58" t="s">
        <v>314</v>
      </c>
      <c r="C21" s="58" t="s">
        <v>265</v>
      </c>
      <c r="D21" s="58" t="s">
        <v>266</v>
      </c>
      <c r="E21" s="58" t="s">
        <v>267</v>
      </c>
      <c r="F21" s="60" t="s">
        <v>328</v>
      </c>
      <c r="G21" s="60" t="s">
        <v>329</v>
      </c>
      <c r="H21" s="60" t="s">
        <v>330</v>
      </c>
      <c r="I21" s="58" t="s">
        <v>291</v>
      </c>
      <c r="J21" s="61">
        <v>6062</v>
      </c>
      <c r="K21" s="68">
        <v>0</v>
      </c>
      <c r="L21" s="57"/>
    </row>
    <row r="22" spans="1:12" ht="38.25" x14ac:dyDescent="0.25">
      <c r="A22" s="357">
        <v>20</v>
      </c>
      <c r="B22" s="58" t="s">
        <v>314</v>
      </c>
      <c r="C22" s="58" t="s">
        <v>265</v>
      </c>
      <c r="D22" s="58" t="s">
        <v>266</v>
      </c>
      <c r="E22" s="58" t="s">
        <v>267</v>
      </c>
      <c r="F22" s="60" t="s">
        <v>331</v>
      </c>
      <c r="G22" s="60" t="s">
        <v>332</v>
      </c>
      <c r="H22" s="60" t="s">
        <v>333</v>
      </c>
      <c r="I22" s="58" t="s">
        <v>291</v>
      </c>
      <c r="J22" s="61">
        <v>7469</v>
      </c>
      <c r="K22" s="68">
        <v>0</v>
      </c>
      <c r="L22" s="57"/>
    </row>
    <row r="23" spans="1:12" ht="25.5" x14ac:dyDescent="0.25">
      <c r="A23" s="357">
        <v>21</v>
      </c>
      <c r="B23" s="58" t="s">
        <v>314</v>
      </c>
      <c r="C23" s="58" t="s">
        <v>265</v>
      </c>
      <c r="D23" s="58" t="s">
        <v>266</v>
      </c>
      <c r="E23" s="58" t="s">
        <v>267</v>
      </c>
      <c r="F23" s="60" t="s">
        <v>334</v>
      </c>
      <c r="G23" s="60" t="s">
        <v>335</v>
      </c>
      <c r="H23" s="60" t="s">
        <v>336</v>
      </c>
      <c r="I23" s="58" t="s">
        <v>291</v>
      </c>
      <c r="J23" s="61">
        <v>5493</v>
      </c>
      <c r="K23" s="68">
        <v>0</v>
      </c>
      <c r="L23" s="57"/>
    </row>
    <row r="24" spans="1:12" ht="25.5" x14ac:dyDescent="0.25">
      <c r="A24" s="357">
        <v>22</v>
      </c>
      <c r="B24" s="58" t="s">
        <v>314</v>
      </c>
      <c r="C24" s="58" t="s">
        <v>265</v>
      </c>
      <c r="D24" s="58" t="s">
        <v>266</v>
      </c>
      <c r="E24" s="58" t="s">
        <v>267</v>
      </c>
      <c r="F24" s="60" t="s">
        <v>337</v>
      </c>
      <c r="G24" s="60" t="s">
        <v>338</v>
      </c>
      <c r="H24" s="60" t="s">
        <v>339</v>
      </c>
      <c r="I24" s="58" t="s">
        <v>291</v>
      </c>
      <c r="J24" s="61">
        <v>1808</v>
      </c>
      <c r="K24" s="68">
        <v>0</v>
      </c>
      <c r="L24" s="57"/>
    </row>
    <row r="25" spans="1:12" ht="25.5" x14ac:dyDescent="0.25">
      <c r="A25" s="357">
        <v>23</v>
      </c>
      <c r="B25" s="58" t="s">
        <v>314</v>
      </c>
      <c r="C25" s="58" t="s">
        <v>265</v>
      </c>
      <c r="D25" s="58" t="s">
        <v>266</v>
      </c>
      <c r="E25" s="58" t="s">
        <v>267</v>
      </c>
      <c r="F25" s="60" t="s">
        <v>340</v>
      </c>
      <c r="G25" s="60" t="s">
        <v>341</v>
      </c>
      <c r="H25" s="60" t="s">
        <v>342</v>
      </c>
      <c r="I25" s="58" t="s">
        <v>343</v>
      </c>
      <c r="J25" s="61">
        <v>5283</v>
      </c>
      <c r="K25" s="68">
        <v>0</v>
      </c>
      <c r="L25" s="57"/>
    </row>
    <row r="26" spans="1:12" ht="25.5" x14ac:dyDescent="0.25">
      <c r="A26" s="357">
        <v>24</v>
      </c>
      <c r="B26" s="58" t="s">
        <v>314</v>
      </c>
      <c r="C26" s="71" t="s">
        <v>265</v>
      </c>
      <c r="D26" s="58" t="s">
        <v>266</v>
      </c>
      <c r="E26" s="58" t="s">
        <v>267</v>
      </c>
      <c r="F26" s="60" t="s">
        <v>344</v>
      </c>
      <c r="G26" s="60" t="s">
        <v>345</v>
      </c>
      <c r="H26" s="60" t="s">
        <v>346</v>
      </c>
      <c r="I26" s="58" t="s">
        <v>287</v>
      </c>
      <c r="J26" s="61">
        <v>1500</v>
      </c>
      <c r="K26" s="68">
        <v>0</v>
      </c>
      <c r="L26" s="57"/>
    </row>
    <row r="27" spans="1:12" ht="25.5" x14ac:dyDescent="0.25">
      <c r="A27" s="357">
        <v>25</v>
      </c>
      <c r="B27" s="58" t="s">
        <v>347</v>
      </c>
      <c r="C27" s="58" t="s">
        <v>265</v>
      </c>
      <c r="D27" s="58" t="s">
        <v>266</v>
      </c>
      <c r="E27" s="58" t="s">
        <v>267</v>
      </c>
      <c r="F27" s="59" t="s">
        <v>348</v>
      </c>
      <c r="G27" s="60" t="s">
        <v>349</v>
      </c>
      <c r="H27" s="60" t="s">
        <v>350</v>
      </c>
      <c r="I27" s="58" t="s">
        <v>271</v>
      </c>
      <c r="J27" s="61">
        <v>3843</v>
      </c>
      <c r="K27" s="62">
        <v>0</v>
      </c>
      <c r="L27" s="57"/>
    </row>
    <row r="28" spans="1:12" ht="25.5" x14ac:dyDescent="0.25">
      <c r="A28" s="357">
        <v>26</v>
      </c>
      <c r="B28" s="58" t="s">
        <v>347</v>
      </c>
      <c r="C28" s="58" t="s">
        <v>265</v>
      </c>
      <c r="D28" s="58" t="s">
        <v>266</v>
      </c>
      <c r="E28" s="58" t="s">
        <v>267</v>
      </c>
      <c r="F28" s="59" t="s">
        <v>351</v>
      </c>
      <c r="G28" s="60" t="s">
        <v>352</v>
      </c>
      <c r="H28" s="60" t="s">
        <v>353</v>
      </c>
      <c r="I28" s="58" t="s">
        <v>291</v>
      </c>
      <c r="J28" s="61">
        <v>3433</v>
      </c>
      <c r="K28" s="62">
        <v>0</v>
      </c>
      <c r="L28" s="57"/>
    </row>
    <row r="29" spans="1:12" ht="25.5" x14ac:dyDescent="0.25">
      <c r="A29" s="357">
        <v>27</v>
      </c>
      <c r="B29" s="58" t="s">
        <v>347</v>
      </c>
      <c r="C29" s="58" t="s">
        <v>265</v>
      </c>
      <c r="D29" s="58" t="s">
        <v>266</v>
      </c>
      <c r="E29" s="58" t="s">
        <v>267</v>
      </c>
      <c r="F29" s="59" t="s">
        <v>354</v>
      </c>
      <c r="G29" s="60" t="s">
        <v>355</v>
      </c>
      <c r="H29" s="60" t="s">
        <v>356</v>
      </c>
      <c r="I29" s="58" t="s">
        <v>357</v>
      </c>
      <c r="J29" s="61">
        <v>1304</v>
      </c>
      <c r="K29" s="62">
        <v>0</v>
      </c>
      <c r="L29" s="57"/>
    </row>
    <row r="30" spans="1:12" ht="25.5" x14ac:dyDescent="0.25">
      <c r="A30" s="357">
        <v>28</v>
      </c>
      <c r="B30" s="58" t="s">
        <v>347</v>
      </c>
      <c r="C30" s="58" t="s">
        <v>265</v>
      </c>
      <c r="D30" s="58" t="s">
        <v>266</v>
      </c>
      <c r="E30" s="58" t="s">
        <v>267</v>
      </c>
      <c r="F30" s="59" t="s">
        <v>358</v>
      </c>
      <c r="G30" s="60" t="s">
        <v>359</v>
      </c>
      <c r="H30" s="60" t="s">
        <v>360</v>
      </c>
      <c r="I30" s="58" t="s">
        <v>361</v>
      </c>
      <c r="J30" s="61">
        <v>3900</v>
      </c>
      <c r="K30" s="62">
        <v>0</v>
      </c>
      <c r="L30" s="57"/>
    </row>
    <row r="31" spans="1:12" ht="25.5" x14ac:dyDescent="0.25">
      <c r="A31" s="357">
        <v>29</v>
      </c>
      <c r="B31" s="58" t="s">
        <v>362</v>
      </c>
      <c r="C31" s="58" t="s">
        <v>265</v>
      </c>
      <c r="D31" s="58" t="s">
        <v>266</v>
      </c>
      <c r="E31" s="58" t="s">
        <v>267</v>
      </c>
      <c r="F31" s="59" t="s">
        <v>363</v>
      </c>
      <c r="G31" s="60" t="s">
        <v>364</v>
      </c>
      <c r="H31" s="60" t="s">
        <v>365</v>
      </c>
      <c r="I31" s="58" t="s">
        <v>361</v>
      </c>
      <c r="J31" s="61">
        <v>10570</v>
      </c>
      <c r="K31" s="62">
        <v>0</v>
      </c>
      <c r="L31" s="57"/>
    </row>
    <row r="32" spans="1:12" ht="38.25" x14ac:dyDescent="0.25">
      <c r="A32" s="357">
        <v>30</v>
      </c>
      <c r="B32" s="58" t="s">
        <v>362</v>
      </c>
      <c r="C32" s="58" t="s">
        <v>265</v>
      </c>
      <c r="D32" s="58" t="s">
        <v>266</v>
      </c>
      <c r="E32" s="58" t="s">
        <v>267</v>
      </c>
      <c r="F32" s="59" t="s">
        <v>366</v>
      </c>
      <c r="G32" s="60" t="s">
        <v>367</v>
      </c>
      <c r="H32" s="60" t="s">
        <v>368</v>
      </c>
      <c r="I32" s="58" t="s">
        <v>361</v>
      </c>
      <c r="J32" s="61">
        <v>8402</v>
      </c>
      <c r="K32" s="62">
        <v>0</v>
      </c>
      <c r="L32" s="57"/>
    </row>
    <row r="33" spans="1:12" ht="25.5" x14ac:dyDescent="0.25">
      <c r="A33" s="357">
        <v>31</v>
      </c>
      <c r="B33" s="58" t="s">
        <v>362</v>
      </c>
      <c r="C33" s="58" t="s">
        <v>265</v>
      </c>
      <c r="D33" s="58" t="s">
        <v>266</v>
      </c>
      <c r="E33" s="58" t="s">
        <v>267</v>
      </c>
      <c r="F33" s="59" t="s">
        <v>369</v>
      </c>
      <c r="G33" s="60" t="s">
        <v>370</v>
      </c>
      <c r="H33" s="60" t="s">
        <v>371</v>
      </c>
      <c r="I33" s="58" t="s">
        <v>361</v>
      </c>
      <c r="J33" s="61">
        <v>7083</v>
      </c>
      <c r="K33" s="62">
        <v>0</v>
      </c>
      <c r="L33" s="57"/>
    </row>
    <row r="34" spans="1:12" ht="25.5" x14ac:dyDescent="0.25">
      <c r="A34" s="357">
        <v>32</v>
      </c>
      <c r="B34" s="58" t="s">
        <v>362</v>
      </c>
      <c r="C34" s="58" t="s">
        <v>265</v>
      </c>
      <c r="D34" s="58" t="s">
        <v>266</v>
      </c>
      <c r="E34" s="58" t="s">
        <v>267</v>
      </c>
      <c r="F34" s="72" t="s">
        <v>372</v>
      </c>
      <c r="G34" s="60" t="s">
        <v>373</v>
      </c>
      <c r="H34" s="60" t="s">
        <v>374</v>
      </c>
      <c r="I34" s="58" t="s">
        <v>357</v>
      </c>
      <c r="J34" s="61">
        <v>6698</v>
      </c>
      <c r="K34" s="62">
        <v>0</v>
      </c>
      <c r="L34" s="57"/>
    </row>
    <row r="35" spans="1:12" ht="25.5" x14ac:dyDescent="0.25">
      <c r="A35" s="357">
        <v>33</v>
      </c>
      <c r="B35" s="58" t="s">
        <v>362</v>
      </c>
      <c r="C35" s="58" t="s">
        <v>265</v>
      </c>
      <c r="D35" s="58" t="s">
        <v>266</v>
      </c>
      <c r="E35" s="58" t="s">
        <v>267</v>
      </c>
      <c r="F35" s="72" t="s">
        <v>375</v>
      </c>
      <c r="G35" s="60" t="s">
        <v>376</v>
      </c>
      <c r="H35" s="60" t="s">
        <v>377</v>
      </c>
      <c r="I35" s="58" t="s">
        <v>310</v>
      </c>
      <c r="J35" s="61">
        <v>11069</v>
      </c>
      <c r="K35" s="62">
        <v>0</v>
      </c>
      <c r="L35" s="57"/>
    </row>
    <row r="36" spans="1:12" ht="25.5" x14ac:dyDescent="0.25">
      <c r="A36" s="357">
        <v>34</v>
      </c>
      <c r="B36" s="58" t="s">
        <v>362</v>
      </c>
      <c r="C36" s="58" t="s">
        <v>265</v>
      </c>
      <c r="D36" s="58" t="s">
        <v>266</v>
      </c>
      <c r="E36" s="58" t="s">
        <v>267</v>
      </c>
      <c r="F36" s="59" t="s">
        <v>378</v>
      </c>
      <c r="G36" s="60" t="s">
        <v>379</v>
      </c>
      <c r="H36" s="60" t="s">
        <v>380</v>
      </c>
      <c r="I36" s="58" t="s">
        <v>381</v>
      </c>
      <c r="J36" s="61">
        <v>6470</v>
      </c>
      <c r="K36" s="62">
        <v>0</v>
      </c>
      <c r="L36" s="57"/>
    </row>
    <row r="37" spans="1:12" ht="38.25" x14ac:dyDescent="0.25">
      <c r="A37" s="357">
        <v>35</v>
      </c>
      <c r="B37" s="58" t="s">
        <v>362</v>
      </c>
      <c r="C37" s="58" t="s">
        <v>265</v>
      </c>
      <c r="D37" s="58" t="s">
        <v>266</v>
      </c>
      <c r="E37" s="58" t="s">
        <v>267</v>
      </c>
      <c r="F37" s="72" t="s">
        <v>382</v>
      </c>
      <c r="G37" s="60" t="s">
        <v>383</v>
      </c>
      <c r="H37" s="60" t="s">
        <v>384</v>
      </c>
      <c r="I37" s="58" t="s">
        <v>291</v>
      </c>
      <c r="J37" s="61">
        <v>5314</v>
      </c>
      <c r="K37" s="62">
        <v>0</v>
      </c>
      <c r="L37" s="57"/>
    </row>
    <row r="38" spans="1:12" ht="25.5" x14ac:dyDescent="0.25">
      <c r="A38" s="357">
        <v>36</v>
      </c>
      <c r="B38" s="58" t="s">
        <v>362</v>
      </c>
      <c r="C38" s="58" t="s">
        <v>265</v>
      </c>
      <c r="D38" s="58" t="s">
        <v>266</v>
      </c>
      <c r="E38" s="58" t="s">
        <v>267</v>
      </c>
      <c r="F38" s="72" t="s">
        <v>385</v>
      </c>
      <c r="G38" s="60" t="s">
        <v>386</v>
      </c>
      <c r="H38" s="60" t="s">
        <v>387</v>
      </c>
      <c r="I38" s="58" t="s">
        <v>291</v>
      </c>
      <c r="J38" s="61">
        <v>3306</v>
      </c>
      <c r="K38" s="62">
        <v>0</v>
      </c>
      <c r="L38" s="57"/>
    </row>
    <row r="39" spans="1:12" ht="25.5" x14ac:dyDescent="0.25">
      <c r="A39" s="357">
        <v>37</v>
      </c>
      <c r="B39" s="58" t="s">
        <v>362</v>
      </c>
      <c r="C39" s="58" t="s">
        <v>265</v>
      </c>
      <c r="D39" s="58" t="s">
        <v>266</v>
      </c>
      <c r="E39" s="58" t="s">
        <v>267</v>
      </c>
      <c r="F39" s="72" t="s">
        <v>388</v>
      </c>
      <c r="G39" s="60" t="s">
        <v>389</v>
      </c>
      <c r="H39" s="60" t="s">
        <v>390</v>
      </c>
      <c r="I39" s="58" t="s">
        <v>381</v>
      </c>
      <c r="J39" s="61">
        <v>5120</v>
      </c>
      <c r="K39" s="62">
        <v>0</v>
      </c>
      <c r="L39" s="57"/>
    </row>
    <row r="40" spans="1:12" ht="25.5" x14ac:dyDescent="0.25">
      <c r="A40" s="357">
        <v>38</v>
      </c>
      <c r="B40" s="58" t="s">
        <v>362</v>
      </c>
      <c r="C40" s="58" t="s">
        <v>265</v>
      </c>
      <c r="D40" s="58" t="s">
        <v>266</v>
      </c>
      <c r="E40" s="58" t="s">
        <v>267</v>
      </c>
      <c r="F40" s="72" t="s">
        <v>391</v>
      </c>
      <c r="G40" s="60" t="s">
        <v>392</v>
      </c>
      <c r="H40" s="60" t="s">
        <v>393</v>
      </c>
      <c r="I40" s="58" t="s">
        <v>343</v>
      </c>
      <c r="J40" s="61">
        <v>9351</v>
      </c>
      <c r="K40" s="62">
        <v>0</v>
      </c>
      <c r="L40" s="57"/>
    </row>
    <row r="41" spans="1:12" ht="76.5" x14ac:dyDescent="0.25">
      <c r="A41" s="357">
        <v>39</v>
      </c>
      <c r="B41" s="58" t="s">
        <v>362</v>
      </c>
      <c r="C41" s="58" t="s">
        <v>265</v>
      </c>
      <c r="D41" s="58" t="s">
        <v>266</v>
      </c>
      <c r="E41" s="58" t="s">
        <v>267</v>
      </c>
      <c r="F41" s="59" t="s">
        <v>394</v>
      </c>
      <c r="G41" s="60" t="s">
        <v>395</v>
      </c>
      <c r="H41" s="60" t="s">
        <v>396</v>
      </c>
      <c r="I41" s="58" t="s">
        <v>287</v>
      </c>
      <c r="J41" s="61">
        <v>5280</v>
      </c>
      <c r="K41" s="62">
        <v>0</v>
      </c>
      <c r="L41" s="57"/>
    </row>
    <row r="42" spans="1:12" ht="38.25" x14ac:dyDescent="0.25">
      <c r="A42" s="357">
        <v>40</v>
      </c>
      <c r="B42" s="58" t="s">
        <v>362</v>
      </c>
      <c r="C42" s="58" t="s">
        <v>265</v>
      </c>
      <c r="D42" s="58" t="s">
        <v>266</v>
      </c>
      <c r="E42" s="58" t="s">
        <v>267</v>
      </c>
      <c r="F42" s="59" t="s">
        <v>397</v>
      </c>
      <c r="G42" s="60" t="s">
        <v>398</v>
      </c>
      <c r="H42" s="60" t="s">
        <v>399</v>
      </c>
      <c r="I42" s="58" t="s">
        <v>287</v>
      </c>
      <c r="J42" s="61">
        <v>3741</v>
      </c>
      <c r="K42" s="62">
        <v>0</v>
      </c>
      <c r="L42" s="57"/>
    </row>
    <row r="43" spans="1:12" ht="51" x14ac:dyDescent="0.25">
      <c r="A43" s="357">
        <v>41</v>
      </c>
      <c r="B43" s="58" t="s">
        <v>400</v>
      </c>
      <c r="C43" s="58" t="s">
        <v>265</v>
      </c>
      <c r="D43" s="58" t="s">
        <v>266</v>
      </c>
      <c r="E43" s="58" t="s">
        <v>267</v>
      </c>
      <c r="F43" s="59" t="s">
        <v>401</v>
      </c>
      <c r="G43" s="60" t="s">
        <v>402</v>
      </c>
      <c r="H43" s="60" t="s">
        <v>403</v>
      </c>
      <c r="I43" s="58" t="s">
        <v>404</v>
      </c>
      <c r="J43" s="61">
        <v>4164</v>
      </c>
      <c r="K43" s="62">
        <v>0</v>
      </c>
      <c r="L43" s="57"/>
    </row>
    <row r="44" spans="1:12" ht="24" customHeight="1" x14ac:dyDescent="0.25">
      <c r="A44" s="506"/>
      <c r="B44" s="507"/>
      <c r="C44" s="74" t="s">
        <v>405</v>
      </c>
      <c r="D44" s="458"/>
      <c r="E44" s="508"/>
      <c r="F44" s="508"/>
      <c r="G44" s="508"/>
      <c r="H44" s="508"/>
      <c r="I44" s="509"/>
      <c r="J44" s="75">
        <f>SUM(J3:J43)</f>
        <v>221141</v>
      </c>
      <c r="K44" s="76">
        <v>0</v>
      </c>
      <c r="L44" s="57"/>
    </row>
    <row r="45" spans="1:12" ht="25.5" x14ac:dyDescent="0.25">
      <c r="A45" s="357">
        <v>42</v>
      </c>
      <c r="B45" s="58" t="s">
        <v>264</v>
      </c>
      <c r="C45" s="58" t="s">
        <v>406</v>
      </c>
      <c r="D45" s="63" t="s">
        <v>266</v>
      </c>
      <c r="E45" s="63" t="s">
        <v>267</v>
      </c>
      <c r="F45" s="60" t="s">
        <v>407</v>
      </c>
      <c r="G45" s="60" t="s">
        <v>408</v>
      </c>
      <c r="H45" s="60" t="s">
        <v>409</v>
      </c>
      <c r="I45" s="58" t="s">
        <v>271</v>
      </c>
      <c r="J45" s="61">
        <v>2910</v>
      </c>
      <c r="K45" s="62">
        <v>0</v>
      </c>
      <c r="L45" s="57"/>
    </row>
    <row r="46" spans="1:12" ht="25.5" x14ac:dyDescent="0.25">
      <c r="A46" s="357">
        <v>43</v>
      </c>
      <c r="B46" s="58" t="s">
        <v>264</v>
      </c>
      <c r="C46" s="58" t="s">
        <v>406</v>
      </c>
      <c r="D46" s="63" t="s">
        <v>266</v>
      </c>
      <c r="E46" s="63" t="s">
        <v>267</v>
      </c>
      <c r="F46" s="60" t="s">
        <v>410</v>
      </c>
      <c r="G46" s="60" t="s">
        <v>411</v>
      </c>
      <c r="H46" s="60" t="s">
        <v>412</v>
      </c>
      <c r="I46" s="58" t="s">
        <v>271</v>
      </c>
      <c r="J46" s="61">
        <v>5041</v>
      </c>
      <c r="K46" s="62">
        <v>0</v>
      </c>
      <c r="L46" s="57"/>
    </row>
    <row r="47" spans="1:12" ht="25.5" x14ac:dyDescent="0.25">
      <c r="A47" s="357">
        <v>44</v>
      </c>
      <c r="B47" s="65" t="s">
        <v>264</v>
      </c>
      <c r="C47" s="65" t="s">
        <v>406</v>
      </c>
      <c r="D47" s="65" t="s">
        <v>266</v>
      </c>
      <c r="E47" s="65" t="s">
        <v>267</v>
      </c>
      <c r="F47" s="60" t="s">
        <v>413</v>
      </c>
      <c r="G47" s="60" t="s">
        <v>414</v>
      </c>
      <c r="H47" s="60" t="s">
        <v>415</v>
      </c>
      <c r="I47" s="65" t="s">
        <v>291</v>
      </c>
      <c r="J47" s="61">
        <v>2612</v>
      </c>
      <c r="K47" s="62">
        <v>0</v>
      </c>
      <c r="L47" s="57"/>
    </row>
    <row r="48" spans="1:12" ht="25.5" x14ac:dyDescent="0.25">
      <c r="A48" s="357">
        <v>45</v>
      </c>
      <c r="B48" s="65" t="s">
        <v>264</v>
      </c>
      <c r="C48" s="65" t="s">
        <v>406</v>
      </c>
      <c r="D48" s="65" t="s">
        <v>266</v>
      </c>
      <c r="E48" s="65" t="s">
        <v>267</v>
      </c>
      <c r="F48" s="59" t="s">
        <v>416</v>
      </c>
      <c r="G48" s="60" t="s">
        <v>417</v>
      </c>
      <c r="H48" s="60" t="s">
        <v>418</v>
      </c>
      <c r="I48" s="58" t="s">
        <v>310</v>
      </c>
      <c r="J48" s="61">
        <v>3712</v>
      </c>
      <c r="K48" s="62">
        <v>0</v>
      </c>
      <c r="L48" s="57"/>
    </row>
    <row r="49" spans="1:12" ht="38.25" x14ac:dyDescent="0.25">
      <c r="A49" s="357">
        <v>46</v>
      </c>
      <c r="B49" s="65" t="s">
        <v>264</v>
      </c>
      <c r="C49" s="65" t="s">
        <v>406</v>
      </c>
      <c r="D49" s="65" t="s">
        <v>266</v>
      </c>
      <c r="E49" s="65" t="s">
        <v>267</v>
      </c>
      <c r="F49" s="59" t="s">
        <v>419</v>
      </c>
      <c r="G49" s="60" t="s">
        <v>420</v>
      </c>
      <c r="H49" s="60" t="s">
        <v>421</v>
      </c>
      <c r="I49" s="58" t="s">
        <v>310</v>
      </c>
      <c r="J49" s="61">
        <v>6939</v>
      </c>
      <c r="K49" s="62">
        <v>0</v>
      </c>
      <c r="L49" s="57"/>
    </row>
    <row r="50" spans="1:12" ht="38.25" x14ac:dyDescent="0.25">
      <c r="A50" s="357">
        <v>47</v>
      </c>
      <c r="B50" s="58" t="s">
        <v>314</v>
      </c>
      <c r="C50" s="58" t="s">
        <v>406</v>
      </c>
      <c r="D50" s="58" t="s">
        <v>266</v>
      </c>
      <c r="E50" s="58" t="s">
        <v>267</v>
      </c>
      <c r="F50" s="60" t="s">
        <v>422</v>
      </c>
      <c r="G50" s="60" t="s">
        <v>423</v>
      </c>
      <c r="H50" s="60" t="s">
        <v>424</v>
      </c>
      <c r="I50" s="77" t="s">
        <v>271</v>
      </c>
      <c r="J50" s="61">
        <v>3311</v>
      </c>
      <c r="K50" s="68">
        <v>0</v>
      </c>
      <c r="L50" s="57"/>
    </row>
    <row r="51" spans="1:12" ht="25.5" x14ac:dyDescent="0.25">
      <c r="A51" s="357">
        <v>48</v>
      </c>
      <c r="B51" s="58" t="s">
        <v>314</v>
      </c>
      <c r="C51" s="58" t="s">
        <v>406</v>
      </c>
      <c r="D51" s="58" t="s">
        <v>266</v>
      </c>
      <c r="E51" s="58" t="s">
        <v>267</v>
      </c>
      <c r="F51" s="60" t="s">
        <v>425</v>
      </c>
      <c r="G51" s="60" t="s">
        <v>319</v>
      </c>
      <c r="H51" s="60" t="s">
        <v>426</v>
      </c>
      <c r="I51" s="58" t="s">
        <v>271</v>
      </c>
      <c r="J51" s="61">
        <v>8848</v>
      </c>
      <c r="K51" s="68">
        <v>0</v>
      </c>
      <c r="L51" s="57"/>
    </row>
    <row r="52" spans="1:12" ht="25.5" x14ac:dyDescent="0.25">
      <c r="A52" s="357">
        <v>49</v>
      </c>
      <c r="B52" s="58" t="s">
        <v>314</v>
      </c>
      <c r="C52" s="58" t="s">
        <v>406</v>
      </c>
      <c r="D52" s="58" t="s">
        <v>266</v>
      </c>
      <c r="E52" s="58" t="s">
        <v>267</v>
      </c>
      <c r="F52" s="60" t="s">
        <v>427</v>
      </c>
      <c r="G52" s="60" t="s">
        <v>428</v>
      </c>
      <c r="H52" s="60" t="s">
        <v>429</v>
      </c>
      <c r="I52" s="58" t="s">
        <v>291</v>
      </c>
      <c r="J52" s="61">
        <v>1859</v>
      </c>
      <c r="K52" s="68">
        <v>0</v>
      </c>
      <c r="L52" s="57"/>
    </row>
    <row r="53" spans="1:12" ht="38.25" x14ac:dyDescent="0.25">
      <c r="A53" s="357">
        <v>50</v>
      </c>
      <c r="B53" s="58" t="s">
        <v>314</v>
      </c>
      <c r="C53" s="58" t="s">
        <v>406</v>
      </c>
      <c r="D53" s="58" t="s">
        <v>266</v>
      </c>
      <c r="E53" s="58" t="s">
        <v>267</v>
      </c>
      <c r="F53" s="60" t="s">
        <v>430</v>
      </c>
      <c r="G53" s="60" t="s">
        <v>431</v>
      </c>
      <c r="H53" s="60" t="s">
        <v>432</v>
      </c>
      <c r="I53" s="58" t="s">
        <v>310</v>
      </c>
      <c r="J53" s="70">
        <v>5648</v>
      </c>
      <c r="K53" s="68">
        <v>0</v>
      </c>
      <c r="L53" s="57"/>
    </row>
    <row r="54" spans="1:12" ht="25.5" x14ac:dyDescent="0.25">
      <c r="A54" s="357">
        <v>51</v>
      </c>
      <c r="B54" s="58" t="s">
        <v>314</v>
      </c>
      <c r="C54" s="58" t="s">
        <v>406</v>
      </c>
      <c r="D54" s="58" t="s">
        <v>266</v>
      </c>
      <c r="E54" s="58" t="s">
        <v>267</v>
      </c>
      <c r="F54" s="60" t="s">
        <v>433</v>
      </c>
      <c r="G54" s="60" t="s">
        <v>434</v>
      </c>
      <c r="H54" s="60" t="s">
        <v>435</v>
      </c>
      <c r="I54" s="58" t="s">
        <v>310</v>
      </c>
      <c r="J54" s="70">
        <v>4829</v>
      </c>
      <c r="K54" s="68">
        <v>0</v>
      </c>
      <c r="L54" s="57"/>
    </row>
    <row r="55" spans="1:12" ht="25.5" x14ac:dyDescent="0.25">
      <c r="A55" s="357">
        <v>52</v>
      </c>
      <c r="B55" s="58" t="s">
        <v>314</v>
      </c>
      <c r="C55" s="58" t="s">
        <v>406</v>
      </c>
      <c r="D55" s="58" t="s">
        <v>266</v>
      </c>
      <c r="E55" s="58" t="s">
        <v>267</v>
      </c>
      <c r="F55" s="60" t="s">
        <v>436</v>
      </c>
      <c r="G55" s="60" t="s">
        <v>437</v>
      </c>
      <c r="H55" s="60" t="s">
        <v>438</v>
      </c>
      <c r="I55" s="58" t="s">
        <v>310</v>
      </c>
      <c r="J55" s="70">
        <v>3252</v>
      </c>
      <c r="K55" s="68">
        <v>0</v>
      </c>
      <c r="L55" s="57"/>
    </row>
    <row r="56" spans="1:12" ht="25.5" x14ac:dyDescent="0.25">
      <c r="A56" s="357">
        <v>53</v>
      </c>
      <c r="B56" s="58" t="s">
        <v>314</v>
      </c>
      <c r="C56" s="58" t="s">
        <v>406</v>
      </c>
      <c r="D56" s="58" t="s">
        <v>266</v>
      </c>
      <c r="E56" s="58" t="s">
        <v>267</v>
      </c>
      <c r="F56" s="60" t="s">
        <v>439</v>
      </c>
      <c r="G56" s="60" t="s">
        <v>440</v>
      </c>
      <c r="H56" s="60" t="s">
        <v>441</v>
      </c>
      <c r="I56" s="58" t="s">
        <v>310</v>
      </c>
      <c r="J56" s="70">
        <v>18284</v>
      </c>
      <c r="K56" s="68">
        <v>0</v>
      </c>
      <c r="L56" s="57"/>
    </row>
    <row r="57" spans="1:12" ht="25.5" x14ac:dyDescent="0.25">
      <c r="A57" s="357">
        <v>54</v>
      </c>
      <c r="B57" s="78" t="s">
        <v>442</v>
      </c>
      <c r="C57" s="78" t="s">
        <v>406</v>
      </c>
      <c r="D57" s="58" t="s">
        <v>266</v>
      </c>
      <c r="E57" s="58" t="s">
        <v>267</v>
      </c>
      <c r="F57" s="79" t="s">
        <v>443</v>
      </c>
      <c r="G57" s="79" t="s">
        <v>444</v>
      </c>
      <c r="H57" s="79" t="s">
        <v>445</v>
      </c>
      <c r="I57" s="80" t="s">
        <v>446</v>
      </c>
      <c r="J57" s="61">
        <v>5405</v>
      </c>
      <c r="K57" s="62">
        <v>0</v>
      </c>
      <c r="L57" s="81"/>
    </row>
    <row r="58" spans="1:12" ht="38.25" x14ac:dyDescent="0.25">
      <c r="A58" s="357">
        <v>55</v>
      </c>
      <c r="B58" s="58" t="s">
        <v>347</v>
      </c>
      <c r="C58" s="58" t="s">
        <v>406</v>
      </c>
      <c r="D58" s="58" t="s">
        <v>266</v>
      </c>
      <c r="E58" s="58" t="s">
        <v>267</v>
      </c>
      <c r="F58" s="59" t="s">
        <v>447</v>
      </c>
      <c r="G58" s="60" t="s">
        <v>448</v>
      </c>
      <c r="H58" s="60" t="s">
        <v>449</v>
      </c>
      <c r="I58" s="58" t="s">
        <v>291</v>
      </c>
      <c r="J58" s="61">
        <v>12864</v>
      </c>
      <c r="K58" s="62">
        <v>0</v>
      </c>
      <c r="L58" s="57"/>
    </row>
    <row r="59" spans="1:12" ht="25.5" x14ac:dyDescent="0.25">
      <c r="A59" s="357">
        <v>56</v>
      </c>
      <c r="B59" s="58" t="s">
        <v>347</v>
      </c>
      <c r="C59" s="58" t="s">
        <v>406</v>
      </c>
      <c r="D59" s="58" t="s">
        <v>266</v>
      </c>
      <c r="E59" s="58" t="s">
        <v>267</v>
      </c>
      <c r="F59" s="59" t="s">
        <v>450</v>
      </c>
      <c r="G59" s="60" t="s">
        <v>451</v>
      </c>
      <c r="H59" s="60" t="s">
        <v>452</v>
      </c>
      <c r="I59" s="58" t="s">
        <v>453</v>
      </c>
      <c r="J59" s="61">
        <v>14832</v>
      </c>
      <c r="K59" s="62">
        <v>0</v>
      </c>
      <c r="L59" s="57"/>
    </row>
    <row r="60" spans="1:12" ht="25.5" x14ac:dyDescent="0.25">
      <c r="A60" s="357">
        <v>57</v>
      </c>
      <c r="B60" s="58" t="s">
        <v>362</v>
      </c>
      <c r="C60" s="58" t="s">
        <v>406</v>
      </c>
      <c r="D60" s="58" t="s">
        <v>266</v>
      </c>
      <c r="E60" s="58" t="s">
        <v>267</v>
      </c>
      <c r="F60" s="59" t="s">
        <v>454</v>
      </c>
      <c r="G60" s="60" t="s">
        <v>386</v>
      </c>
      <c r="H60" s="60" t="s">
        <v>455</v>
      </c>
      <c r="I60" s="58" t="s">
        <v>381</v>
      </c>
      <c r="J60" s="61">
        <v>1132</v>
      </c>
      <c r="K60" s="62">
        <v>0</v>
      </c>
      <c r="L60" s="57"/>
    </row>
    <row r="61" spans="1:12" ht="24" customHeight="1" x14ac:dyDescent="0.25">
      <c r="A61" s="506"/>
      <c r="B61" s="507"/>
      <c r="C61" s="74" t="s">
        <v>456</v>
      </c>
      <c r="D61" s="458"/>
      <c r="E61" s="508"/>
      <c r="F61" s="508"/>
      <c r="G61" s="508"/>
      <c r="H61" s="508"/>
      <c r="I61" s="509"/>
      <c r="J61" s="75">
        <f>SUM(J45:J60)</f>
        <v>101478</v>
      </c>
      <c r="K61" s="76">
        <v>0</v>
      </c>
      <c r="L61" s="57"/>
    </row>
    <row r="62" spans="1:12" ht="25.5" x14ac:dyDescent="0.25">
      <c r="A62" s="357">
        <v>58</v>
      </c>
      <c r="B62" s="58" t="s">
        <v>264</v>
      </c>
      <c r="C62" s="58" t="s">
        <v>457</v>
      </c>
      <c r="D62" s="58" t="s">
        <v>266</v>
      </c>
      <c r="E62" s="58" t="s">
        <v>267</v>
      </c>
      <c r="F62" s="59" t="s">
        <v>458</v>
      </c>
      <c r="G62" s="60" t="s">
        <v>459</v>
      </c>
      <c r="H62" s="60" t="s">
        <v>460</v>
      </c>
      <c r="I62" s="58" t="s">
        <v>361</v>
      </c>
      <c r="J62" s="61">
        <v>11329.9</v>
      </c>
      <c r="K62" s="62">
        <v>0</v>
      </c>
      <c r="L62" s="57"/>
    </row>
    <row r="63" spans="1:12" ht="25.5" x14ac:dyDescent="0.25">
      <c r="A63" s="357">
        <v>59</v>
      </c>
      <c r="B63" s="58" t="s">
        <v>314</v>
      </c>
      <c r="C63" s="58" t="s">
        <v>457</v>
      </c>
      <c r="D63" s="58" t="s">
        <v>266</v>
      </c>
      <c r="E63" s="58" t="s">
        <v>267</v>
      </c>
      <c r="F63" s="82" t="s">
        <v>461</v>
      </c>
      <c r="G63" s="60" t="s">
        <v>345</v>
      </c>
      <c r="H63" s="60" t="s">
        <v>462</v>
      </c>
      <c r="I63" s="77" t="s">
        <v>361</v>
      </c>
      <c r="J63" s="70">
        <v>17687.5</v>
      </c>
      <c r="K63" s="68">
        <v>0</v>
      </c>
      <c r="L63" s="57"/>
    </row>
    <row r="64" spans="1:12" ht="25.5" x14ac:dyDescent="0.25">
      <c r="A64" s="357">
        <v>60</v>
      </c>
      <c r="B64" s="58" t="s">
        <v>314</v>
      </c>
      <c r="C64" s="58" t="s">
        <v>457</v>
      </c>
      <c r="D64" s="58" t="s">
        <v>266</v>
      </c>
      <c r="E64" s="58" t="s">
        <v>267</v>
      </c>
      <c r="F64" s="60" t="s">
        <v>463</v>
      </c>
      <c r="G64" s="60" t="s">
        <v>464</v>
      </c>
      <c r="H64" s="60" t="s">
        <v>465</v>
      </c>
      <c r="I64" s="58" t="s">
        <v>361</v>
      </c>
      <c r="J64" s="61">
        <v>3974.95</v>
      </c>
      <c r="K64" s="68">
        <v>0</v>
      </c>
      <c r="L64" s="57"/>
    </row>
    <row r="65" spans="1:12" ht="25.5" x14ac:dyDescent="0.25">
      <c r="A65" s="357">
        <v>61</v>
      </c>
      <c r="B65" s="58" t="s">
        <v>314</v>
      </c>
      <c r="C65" s="58" t="s">
        <v>457</v>
      </c>
      <c r="D65" s="58" t="s">
        <v>266</v>
      </c>
      <c r="E65" s="58" t="s">
        <v>267</v>
      </c>
      <c r="F65" s="60" t="s">
        <v>466</v>
      </c>
      <c r="G65" s="60" t="s">
        <v>467</v>
      </c>
      <c r="H65" s="60" t="s">
        <v>468</v>
      </c>
      <c r="I65" s="58" t="s">
        <v>469</v>
      </c>
      <c r="J65" s="61">
        <v>17759</v>
      </c>
      <c r="K65" s="68">
        <v>0</v>
      </c>
      <c r="L65" s="83"/>
    </row>
    <row r="66" spans="1:12" ht="25.5" x14ac:dyDescent="0.25">
      <c r="A66" s="357">
        <v>62</v>
      </c>
      <c r="B66" s="58" t="s">
        <v>442</v>
      </c>
      <c r="C66" s="58" t="s">
        <v>457</v>
      </c>
      <c r="D66" s="58" t="s">
        <v>266</v>
      </c>
      <c r="E66" s="58" t="s">
        <v>267</v>
      </c>
      <c r="F66" s="59" t="s">
        <v>470</v>
      </c>
      <c r="G66" s="60" t="s">
        <v>471</v>
      </c>
      <c r="H66" s="60" t="s">
        <v>472</v>
      </c>
      <c r="I66" s="65" t="s">
        <v>473</v>
      </c>
      <c r="J66" s="61">
        <v>49874</v>
      </c>
      <c r="K66" s="62">
        <v>0</v>
      </c>
      <c r="L66" s="57"/>
    </row>
    <row r="67" spans="1:12" ht="25.5" x14ac:dyDescent="0.25">
      <c r="A67" s="357">
        <v>63</v>
      </c>
      <c r="B67" s="58" t="s">
        <v>442</v>
      </c>
      <c r="C67" s="58" t="s">
        <v>457</v>
      </c>
      <c r="D67" s="58" t="s">
        <v>266</v>
      </c>
      <c r="E67" s="58" t="s">
        <v>267</v>
      </c>
      <c r="F67" s="59" t="s">
        <v>474</v>
      </c>
      <c r="G67" s="60" t="s">
        <v>475</v>
      </c>
      <c r="H67" s="60" t="s">
        <v>476</v>
      </c>
      <c r="I67" s="65" t="s">
        <v>477</v>
      </c>
      <c r="J67" s="61">
        <v>24169</v>
      </c>
      <c r="K67" s="62">
        <v>0</v>
      </c>
      <c r="L67" s="57"/>
    </row>
    <row r="68" spans="1:12" ht="25.5" x14ac:dyDescent="0.25">
      <c r="A68" s="357">
        <v>64</v>
      </c>
      <c r="B68" s="58" t="s">
        <v>442</v>
      </c>
      <c r="C68" s="58" t="s">
        <v>457</v>
      </c>
      <c r="D68" s="58" t="s">
        <v>266</v>
      </c>
      <c r="E68" s="58" t="s">
        <v>267</v>
      </c>
      <c r="F68" s="59" t="s">
        <v>478</v>
      </c>
      <c r="G68" s="60" t="s">
        <v>479</v>
      </c>
      <c r="H68" s="60" t="s">
        <v>480</v>
      </c>
      <c r="I68" s="65" t="s">
        <v>481</v>
      </c>
      <c r="J68" s="61">
        <v>11075</v>
      </c>
      <c r="K68" s="62">
        <v>0</v>
      </c>
      <c r="L68" s="57"/>
    </row>
    <row r="69" spans="1:12" ht="25.5" x14ac:dyDescent="0.25">
      <c r="A69" s="357">
        <v>65</v>
      </c>
      <c r="B69" s="58" t="s">
        <v>347</v>
      </c>
      <c r="C69" s="58" t="s">
        <v>457</v>
      </c>
      <c r="D69" s="58" t="s">
        <v>266</v>
      </c>
      <c r="E69" s="58" t="s">
        <v>267</v>
      </c>
      <c r="F69" s="60" t="s">
        <v>482</v>
      </c>
      <c r="G69" s="60" t="s">
        <v>355</v>
      </c>
      <c r="H69" s="60" t="s">
        <v>483</v>
      </c>
      <c r="I69" s="58" t="s">
        <v>469</v>
      </c>
      <c r="J69" s="61">
        <v>4860</v>
      </c>
      <c r="K69" s="62">
        <v>0</v>
      </c>
      <c r="L69" s="57"/>
    </row>
    <row r="70" spans="1:12" ht="25.5" x14ac:dyDescent="0.25">
      <c r="A70" s="357">
        <v>66</v>
      </c>
      <c r="B70" s="58" t="s">
        <v>362</v>
      </c>
      <c r="C70" s="58" t="s">
        <v>457</v>
      </c>
      <c r="D70" s="58" t="s">
        <v>266</v>
      </c>
      <c r="E70" s="58" t="s">
        <v>267</v>
      </c>
      <c r="F70" s="59" t="s">
        <v>484</v>
      </c>
      <c r="G70" s="60" t="s">
        <v>364</v>
      </c>
      <c r="H70" s="60" t="s">
        <v>485</v>
      </c>
      <c r="I70" s="58" t="s">
        <v>361</v>
      </c>
      <c r="J70" s="61">
        <v>49742</v>
      </c>
      <c r="K70" s="62">
        <v>0</v>
      </c>
      <c r="L70" s="57"/>
    </row>
    <row r="71" spans="1:12" ht="25.5" x14ac:dyDescent="0.25">
      <c r="A71" s="357">
        <v>67</v>
      </c>
      <c r="B71" s="58" t="s">
        <v>362</v>
      </c>
      <c r="C71" s="58" t="s">
        <v>457</v>
      </c>
      <c r="D71" s="58" t="s">
        <v>266</v>
      </c>
      <c r="E71" s="58" t="s">
        <v>267</v>
      </c>
      <c r="F71" s="59" t="s">
        <v>486</v>
      </c>
      <c r="G71" s="60" t="s">
        <v>487</v>
      </c>
      <c r="H71" s="60" t="s">
        <v>488</v>
      </c>
      <c r="I71" s="58" t="s">
        <v>361</v>
      </c>
      <c r="J71" s="61">
        <v>36142.5</v>
      </c>
      <c r="K71" s="62">
        <v>0</v>
      </c>
      <c r="L71" s="57"/>
    </row>
    <row r="72" spans="1:12" ht="25.5" x14ac:dyDescent="0.25">
      <c r="A72" s="357">
        <v>68</v>
      </c>
      <c r="B72" s="58" t="s">
        <v>362</v>
      </c>
      <c r="C72" s="58" t="s">
        <v>457</v>
      </c>
      <c r="D72" s="58" t="s">
        <v>266</v>
      </c>
      <c r="E72" s="58" t="s">
        <v>267</v>
      </c>
      <c r="F72" s="59" t="s">
        <v>489</v>
      </c>
      <c r="G72" s="60" t="s">
        <v>373</v>
      </c>
      <c r="H72" s="60" t="s">
        <v>490</v>
      </c>
      <c r="I72" s="58" t="s">
        <v>491</v>
      </c>
      <c r="J72" s="61">
        <v>47027.5</v>
      </c>
      <c r="K72" s="62">
        <v>0</v>
      </c>
      <c r="L72" s="57"/>
    </row>
    <row r="73" spans="1:12" ht="25.5" x14ac:dyDescent="0.25">
      <c r="A73" s="357">
        <v>69</v>
      </c>
      <c r="B73" s="58" t="s">
        <v>362</v>
      </c>
      <c r="C73" s="58" t="s">
        <v>457</v>
      </c>
      <c r="D73" s="58" t="s">
        <v>266</v>
      </c>
      <c r="E73" s="58" t="s">
        <v>267</v>
      </c>
      <c r="F73" s="59" t="s">
        <v>492</v>
      </c>
      <c r="G73" s="60" t="s">
        <v>493</v>
      </c>
      <c r="H73" s="60" t="s">
        <v>494</v>
      </c>
      <c r="I73" s="58" t="s">
        <v>491</v>
      </c>
      <c r="J73" s="61">
        <v>45285</v>
      </c>
      <c r="K73" s="62">
        <v>0</v>
      </c>
      <c r="L73" s="57"/>
    </row>
    <row r="74" spans="1:12" ht="25.5" x14ac:dyDescent="0.25">
      <c r="A74" s="357">
        <v>70</v>
      </c>
      <c r="B74" s="58" t="s">
        <v>362</v>
      </c>
      <c r="C74" s="58" t="s">
        <v>457</v>
      </c>
      <c r="D74" s="58" t="s">
        <v>266</v>
      </c>
      <c r="E74" s="58" t="s">
        <v>267</v>
      </c>
      <c r="F74" s="59" t="s">
        <v>495</v>
      </c>
      <c r="G74" s="60" t="s">
        <v>395</v>
      </c>
      <c r="H74" s="60" t="s">
        <v>496</v>
      </c>
      <c r="I74" s="58" t="s">
        <v>469</v>
      </c>
      <c r="J74" s="61">
        <v>20014</v>
      </c>
      <c r="K74" s="62">
        <v>0</v>
      </c>
      <c r="L74" s="57"/>
    </row>
    <row r="75" spans="1:12" ht="24.75" customHeight="1" x14ac:dyDescent="0.25">
      <c r="A75" s="506"/>
      <c r="B75" s="507"/>
      <c r="C75" s="84" t="s">
        <v>497</v>
      </c>
      <c r="D75" s="458"/>
      <c r="E75" s="508"/>
      <c r="F75" s="508"/>
      <c r="G75" s="508"/>
      <c r="H75" s="508"/>
      <c r="I75" s="509"/>
      <c r="J75" s="75">
        <f>SUM(J62:J74)</f>
        <v>338940.35</v>
      </c>
      <c r="K75" s="76">
        <v>0</v>
      </c>
      <c r="L75" s="57"/>
    </row>
    <row r="76" spans="1:12" ht="25.5" x14ac:dyDescent="0.25">
      <c r="A76" s="357">
        <v>71</v>
      </c>
      <c r="B76" s="77" t="s">
        <v>314</v>
      </c>
      <c r="C76" s="85" t="s">
        <v>498</v>
      </c>
      <c r="D76" s="77" t="s">
        <v>266</v>
      </c>
      <c r="E76" s="77" t="s">
        <v>267</v>
      </c>
      <c r="F76" s="82" t="s">
        <v>499</v>
      </c>
      <c r="G76" s="82" t="s">
        <v>500</v>
      </c>
      <c r="H76" s="82" t="s">
        <v>501</v>
      </c>
      <c r="I76" s="77" t="s">
        <v>381</v>
      </c>
      <c r="J76" s="61">
        <v>8000</v>
      </c>
      <c r="K76" s="68">
        <v>0</v>
      </c>
      <c r="L76" s="57"/>
    </row>
    <row r="77" spans="1:12" ht="25.5" x14ac:dyDescent="0.25">
      <c r="A77" s="357">
        <v>72</v>
      </c>
      <c r="B77" s="77" t="s">
        <v>314</v>
      </c>
      <c r="C77" s="85" t="s">
        <v>498</v>
      </c>
      <c r="D77" s="77" t="s">
        <v>266</v>
      </c>
      <c r="E77" s="77" t="s">
        <v>267</v>
      </c>
      <c r="F77" s="82" t="s">
        <v>502</v>
      </c>
      <c r="G77" s="82" t="s">
        <v>500</v>
      </c>
      <c r="H77" s="82" t="s">
        <v>503</v>
      </c>
      <c r="I77" s="77" t="s">
        <v>453</v>
      </c>
      <c r="J77" s="61">
        <v>14000</v>
      </c>
      <c r="K77" s="68">
        <v>0</v>
      </c>
      <c r="L77" s="57"/>
    </row>
    <row r="78" spans="1:12" ht="26.25" customHeight="1" x14ac:dyDescent="0.25">
      <c r="A78" s="506"/>
      <c r="B78" s="507"/>
      <c r="C78" s="86" t="s">
        <v>504</v>
      </c>
      <c r="D78" s="458"/>
      <c r="E78" s="508"/>
      <c r="F78" s="508"/>
      <c r="G78" s="508"/>
      <c r="H78" s="508"/>
      <c r="I78" s="509"/>
      <c r="J78" s="75">
        <f>SUM(J76:J77)</f>
        <v>22000</v>
      </c>
      <c r="K78" s="62">
        <v>0</v>
      </c>
      <c r="L78" s="57"/>
    </row>
    <row r="79" spans="1:12" x14ac:dyDescent="0.25">
      <c r="A79" s="87"/>
      <c r="B79" s="88"/>
      <c r="C79" s="89"/>
      <c r="D79" s="88"/>
      <c r="E79" s="88"/>
      <c r="F79" s="90"/>
      <c r="G79" s="91"/>
      <c r="H79" s="91"/>
      <c r="I79" s="88"/>
      <c r="J79" s="92"/>
      <c r="K79" s="93"/>
      <c r="L79" s="87"/>
    </row>
    <row r="80" spans="1:12" ht="23.25" customHeight="1" x14ac:dyDescent="0.25">
      <c r="A80" s="87"/>
      <c r="B80" s="88"/>
      <c r="C80" s="94" t="s">
        <v>505</v>
      </c>
      <c r="D80" s="88"/>
      <c r="E80" s="88"/>
      <c r="F80" s="90"/>
      <c r="G80" s="91"/>
      <c r="H80" s="91"/>
      <c r="I80" s="88"/>
      <c r="J80" s="92"/>
      <c r="K80" s="93"/>
      <c r="L80" s="87"/>
    </row>
    <row r="81" spans="1:12" ht="63.75" x14ac:dyDescent="0.25">
      <c r="A81" s="357">
        <v>73</v>
      </c>
      <c r="B81" s="58" t="s">
        <v>314</v>
      </c>
      <c r="C81" s="65" t="s">
        <v>506</v>
      </c>
      <c r="D81" s="58" t="s">
        <v>266</v>
      </c>
      <c r="E81" s="58" t="s">
        <v>507</v>
      </c>
      <c r="F81" s="59" t="s">
        <v>508</v>
      </c>
      <c r="G81" s="60" t="s">
        <v>509</v>
      </c>
      <c r="H81" s="60" t="s">
        <v>510</v>
      </c>
      <c r="I81" s="58" t="s">
        <v>271</v>
      </c>
      <c r="J81" s="61">
        <v>14072.8</v>
      </c>
      <c r="K81" s="62">
        <v>0</v>
      </c>
      <c r="L81" s="57"/>
    </row>
    <row r="82" spans="1:12" ht="102" x14ac:dyDescent="0.25">
      <c r="A82" s="357">
        <v>74</v>
      </c>
      <c r="B82" s="58" t="s">
        <v>314</v>
      </c>
      <c r="C82" s="65" t="s">
        <v>511</v>
      </c>
      <c r="D82" s="58" t="s">
        <v>266</v>
      </c>
      <c r="E82" s="58" t="s">
        <v>507</v>
      </c>
      <c r="F82" s="59" t="s">
        <v>512</v>
      </c>
      <c r="G82" s="60" t="s">
        <v>513</v>
      </c>
      <c r="H82" s="60" t="s">
        <v>514</v>
      </c>
      <c r="I82" s="58" t="s">
        <v>357</v>
      </c>
      <c r="J82" s="61">
        <v>11321</v>
      </c>
      <c r="K82" s="62">
        <v>0</v>
      </c>
      <c r="L82" s="57"/>
    </row>
    <row r="83" spans="1:12" ht="25.5" x14ac:dyDescent="0.25">
      <c r="A83" s="357">
        <v>75</v>
      </c>
      <c r="B83" s="58" t="s">
        <v>442</v>
      </c>
      <c r="C83" s="65" t="s">
        <v>515</v>
      </c>
      <c r="D83" s="58" t="s">
        <v>266</v>
      </c>
      <c r="E83" s="58" t="s">
        <v>507</v>
      </c>
      <c r="F83" s="59">
        <v>602150</v>
      </c>
      <c r="G83" s="60" t="s">
        <v>475</v>
      </c>
      <c r="H83" s="60" t="s">
        <v>476</v>
      </c>
      <c r="I83" s="58" t="s">
        <v>477</v>
      </c>
      <c r="J83" s="61">
        <v>45731.6</v>
      </c>
      <c r="K83" s="62">
        <v>0</v>
      </c>
      <c r="L83" s="57"/>
    </row>
    <row r="84" spans="1:12" x14ac:dyDescent="0.25">
      <c r="A84" s="357">
        <v>76</v>
      </c>
      <c r="B84" s="58" t="s">
        <v>347</v>
      </c>
      <c r="C84" s="65" t="s">
        <v>516</v>
      </c>
      <c r="D84" s="58" t="s">
        <v>266</v>
      </c>
      <c r="E84" s="58" t="s">
        <v>507</v>
      </c>
      <c r="F84" s="59" t="s">
        <v>517</v>
      </c>
      <c r="G84" s="60" t="s">
        <v>518</v>
      </c>
      <c r="H84" s="60" t="s">
        <v>519</v>
      </c>
      <c r="I84" s="58"/>
      <c r="J84" s="61">
        <v>10000</v>
      </c>
      <c r="K84" s="62">
        <v>0</v>
      </c>
      <c r="L84" s="57"/>
    </row>
    <row r="85" spans="1:12" ht="25.5" x14ac:dyDescent="0.25">
      <c r="A85" s="357">
        <v>77</v>
      </c>
      <c r="B85" s="58" t="s">
        <v>362</v>
      </c>
      <c r="C85" s="65" t="s">
        <v>520</v>
      </c>
      <c r="D85" s="58" t="s">
        <v>266</v>
      </c>
      <c r="E85" s="58" t="s">
        <v>507</v>
      </c>
      <c r="F85" s="59" t="s">
        <v>521</v>
      </c>
      <c r="G85" s="60" t="s">
        <v>522</v>
      </c>
      <c r="H85" s="60" t="s">
        <v>523</v>
      </c>
      <c r="I85" s="58">
        <v>2015</v>
      </c>
      <c r="J85" s="61">
        <v>1290.06</v>
      </c>
      <c r="K85" s="62">
        <v>0</v>
      </c>
      <c r="L85" s="57"/>
    </row>
    <row r="86" spans="1:12" ht="25.5" x14ac:dyDescent="0.25">
      <c r="A86" s="357">
        <v>78</v>
      </c>
      <c r="B86" s="58" t="s">
        <v>362</v>
      </c>
      <c r="C86" s="65" t="s">
        <v>520</v>
      </c>
      <c r="D86" s="58" t="s">
        <v>266</v>
      </c>
      <c r="E86" s="58" t="s">
        <v>507</v>
      </c>
      <c r="F86" s="59" t="s">
        <v>524</v>
      </c>
      <c r="G86" s="60" t="s">
        <v>522</v>
      </c>
      <c r="H86" s="60" t="s">
        <v>525</v>
      </c>
      <c r="I86" s="58">
        <v>2015</v>
      </c>
      <c r="J86" s="61">
        <v>21648.12</v>
      </c>
      <c r="K86" s="62">
        <v>0</v>
      </c>
      <c r="L86" s="57"/>
    </row>
    <row r="87" spans="1:12" ht="25.5" x14ac:dyDescent="0.25">
      <c r="A87" s="510"/>
      <c r="B87" s="511"/>
      <c r="C87" s="95" t="s">
        <v>526</v>
      </c>
      <c r="D87" s="458"/>
      <c r="E87" s="508"/>
      <c r="F87" s="508"/>
      <c r="G87" s="508"/>
      <c r="H87" s="508"/>
      <c r="I87" s="509"/>
      <c r="J87" s="75">
        <f>SUM(J81:J86)</f>
        <v>104063.57999999999</v>
      </c>
      <c r="K87" s="76">
        <v>0</v>
      </c>
      <c r="L87" s="57"/>
    </row>
    <row r="88" spans="1:12" x14ac:dyDescent="0.25">
      <c r="A88" s="87"/>
      <c r="B88" s="87"/>
      <c r="C88" s="89"/>
      <c r="D88" s="87"/>
      <c r="E88" s="87"/>
      <c r="F88" s="90"/>
      <c r="G88" s="91"/>
      <c r="H88" s="91"/>
      <c r="I88" s="88"/>
      <c r="J88" s="92"/>
      <c r="K88" s="93"/>
      <c r="L88" s="87"/>
    </row>
    <row r="89" spans="1:12" x14ac:dyDescent="0.25">
      <c r="C89" s="2"/>
      <c r="G89" s="96"/>
      <c r="H89" s="96"/>
      <c r="I89" s="97"/>
      <c r="J89" s="98"/>
      <c r="K89" s="99"/>
    </row>
    <row r="90" spans="1:12" x14ac:dyDescent="0.25">
      <c r="G90" s="96"/>
      <c r="H90" s="96"/>
      <c r="I90" s="97"/>
      <c r="J90" s="98"/>
      <c r="K90" s="99"/>
    </row>
    <row r="91" spans="1:12" x14ac:dyDescent="0.25">
      <c r="G91" s="100"/>
      <c r="H91" s="100"/>
    </row>
    <row r="92" spans="1:12" x14ac:dyDescent="0.25">
      <c r="G92" s="100"/>
      <c r="H92" s="100"/>
    </row>
  </sheetData>
  <mergeCells count="11">
    <mergeCell ref="A1:L1"/>
    <mergeCell ref="A44:B44"/>
    <mergeCell ref="D44:I44"/>
    <mergeCell ref="A61:B61"/>
    <mergeCell ref="D61:I61"/>
    <mergeCell ref="A75:B75"/>
    <mergeCell ref="D75:I75"/>
    <mergeCell ref="A78:B78"/>
    <mergeCell ref="D78:I78"/>
    <mergeCell ref="A87:B87"/>
    <mergeCell ref="D87:I8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topLeftCell="A10" zoomScaleNormal="100" zoomScaleSheetLayoutView="100" workbookViewId="0">
      <selection activeCell="J10" sqref="J10:K16"/>
    </sheetView>
  </sheetViews>
  <sheetFormatPr defaultRowHeight="15.75" x14ac:dyDescent="0.25"/>
  <cols>
    <col min="1" max="1" width="4.25" customWidth="1"/>
    <col min="2" max="2" width="6.75" customWidth="1"/>
    <col min="3" max="3" width="15" customWidth="1"/>
    <col min="4" max="4" width="4.75" customWidth="1"/>
    <col min="5" max="5" width="4.25" customWidth="1"/>
    <col min="6" max="6" width="12.875" customWidth="1"/>
    <col min="7" max="7" width="14.25" customWidth="1"/>
    <col min="8" max="8" width="42.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">
      <c r="A1" s="514" t="s">
        <v>234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</row>
    <row r="2" spans="1:13" s="28" customFormat="1" ht="128.25" thickBot="1" x14ac:dyDescent="0.25">
      <c r="A2" s="113" t="s">
        <v>100</v>
      </c>
      <c r="B2" s="114" t="s">
        <v>30</v>
      </c>
      <c r="C2" s="114" t="s">
        <v>143</v>
      </c>
      <c r="D2" s="114" t="s">
        <v>146</v>
      </c>
      <c r="E2" s="114" t="s">
        <v>145</v>
      </c>
      <c r="F2" s="114" t="s">
        <v>101</v>
      </c>
      <c r="G2" s="114" t="s">
        <v>102</v>
      </c>
      <c r="H2" s="114" t="s">
        <v>88</v>
      </c>
      <c r="I2" s="114" t="s">
        <v>103</v>
      </c>
      <c r="J2" s="114" t="s">
        <v>104</v>
      </c>
      <c r="K2" s="114" t="s">
        <v>105</v>
      </c>
      <c r="L2" s="115" t="s">
        <v>106</v>
      </c>
      <c r="M2" s="116"/>
    </row>
    <row r="3" spans="1:13" ht="25.5" x14ac:dyDescent="0.25">
      <c r="A3" s="101">
        <v>1</v>
      </c>
      <c r="B3" s="78" t="s">
        <v>442</v>
      </c>
      <c r="C3" s="79" t="s">
        <v>537</v>
      </c>
      <c r="D3" s="58" t="s">
        <v>266</v>
      </c>
      <c r="E3" s="58" t="s">
        <v>267</v>
      </c>
      <c r="F3" s="80" t="s">
        <v>538</v>
      </c>
      <c r="G3" s="60" t="s">
        <v>539</v>
      </c>
      <c r="H3" s="60" t="s">
        <v>540</v>
      </c>
      <c r="I3" s="80" t="s">
        <v>541</v>
      </c>
      <c r="J3" s="358">
        <v>2314.4299999999998</v>
      </c>
      <c r="K3" s="358">
        <v>0</v>
      </c>
      <c r="L3" s="81"/>
      <c r="M3" s="116"/>
    </row>
    <row r="4" spans="1:13" ht="29.25" customHeight="1" x14ac:dyDescent="0.25">
      <c r="A4" s="101">
        <v>2</v>
      </c>
      <c r="B4" s="78" t="s">
        <v>442</v>
      </c>
      <c r="C4" s="79" t="s">
        <v>537</v>
      </c>
      <c r="D4" s="58" t="s">
        <v>266</v>
      </c>
      <c r="E4" s="58" t="s">
        <v>267</v>
      </c>
      <c r="F4" s="80" t="s">
        <v>542</v>
      </c>
      <c r="G4" s="60" t="s">
        <v>539</v>
      </c>
      <c r="H4" s="72" t="s">
        <v>543</v>
      </c>
      <c r="I4" s="80" t="s">
        <v>544</v>
      </c>
      <c r="J4" s="358">
        <v>190.27</v>
      </c>
      <c r="K4" s="358">
        <v>0</v>
      </c>
      <c r="L4" s="81"/>
      <c r="M4" s="116"/>
    </row>
    <row r="5" spans="1:13" ht="29.25" customHeight="1" x14ac:dyDescent="0.25">
      <c r="A5" s="101">
        <v>3</v>
      </c>
      <c r="B5" s="58" t="s">
        <v>545</v>
      </c>
      <c r="C5" s="79" t="s">
        <v>546</v>
      </c>
      <c r="D5" s="58"/>
      <c r="E5" s="58" t="s">
        <v>267</v>
      </c>
      <c r="F5" s="80" t="s">
        <v>547</v>
      </c>
      <c r="G5" s="102" t="s">
        <v>548</v>
      </c>
      <c r="H5" s="103" t="s">
        <v>549</v>
      </c>
      <c r="I5" s="104" t="s">
        <v>550</v>
      </c>
      <c r="J5" s="359">
        <v>336193.86</v>
      </c>
      <c r="K5" s="360">
        <v>0</v>
      </c>
      <c r="L5" s="57"/>
      <c r="M5" s="116"/>
    </row>
    <row r="6" spans="1:13" ht="28.5" customHeight="1" x14ac:dyDescent="0.25">
      <c r="A6" s="101">
        <v>4</v>
      </c>
      <c r="B6" s="58" t="s">
        <v>545</v>
      </c>
      <c r="C6" s="79" t="s">
        <v>546</v>
      </c>
      <c r="D6" s="58"/>
      <c r="E6" s="58" t="s">
        <v>267</v>
      </c>
      <c r="F6" s="80" t="s">
        <v>551</v>
      </c>
      <c r="G6" s="102" t="s">
        <v>552</v>
      </c>
      <c r="H6" s="103" t="s">
        <v>553</v>
      </c>
      <c r="I6" s="104" t="s">
        <v>554</v>
      </c>
      <c r="J6" s="361">
        <v>867.54</v>
      </c>
      <c r="K6" s="362">
        <v>765742.12</v>
      </c>
      <c r="L6" s="57"/>
      <c r="M6" s="116"/>
    </row>
    <row r="7" spans="1:13" ht="31.5" customHeight="1" x14ac:dyDescent="0.25">
      <c r="A7" s="78">
        <v>5</v>
      </c>
      <c r="B7" s="78" t="s">
        <v>545</v>
      </c>
      <c r="C7" s="79" t="s">
        <v>546</v>
      </c>
      <c r="D7" s="78"/>
      <c r="E7" s="58" t="s">
        <v>267</v>
      </c>
      <c r="F7" s="80" t="s">
        <v>555</v>
      </c>
      <c r="G7" s="79" t="s">
        <v>556</v>
      </c>
      <c r="H7" s="79" t="s">
        <v>557</v>
      </c>
      <c r="I7" s="80" t="s">
        <v>558</v>
      </c>
      <c r="J7" s="362">
        <v>51915.6</v>
      </c>
      <c r="K7" s="362">
        <v>1768221.05</v>
      </c>
      <c r="L7" s="57"/>
      <c r="M7" s="116"/>
    </row>
    <row r="8" spans="1:13" ht="27.75" customHeight="1" x14ac:dyDescent="0.25">
      <c r="A8" s="516"/>
      <c r="B8" s="517"/>
      <c r="C8" s="105" t="s">
        <v>559</v>
      </c>
      <c r="D8" s="518"/>
      <c r="E8" s="459"/>
      <c r="F8" s="459"/>
      <c r="G8" s="459"/>
      <c r="H8" s="459"/>
      <c r="I8" s="519"/>
      <c r="J8" s="363">
        <f>SUM(J3:J7)</f>
        <v>391481.69999999995</v>
      </c>
      <c r="K8" s="363">
        <f>SUM(K3:K7)</f>
        <v>2533963.17</v>
      </c>
      <c r="L8" s="57"/>
      <c r="M8" s="116"/>
    </row>
    <row r="9" spans="1:13" ht="27.75" customHeight="1" x14ac:dyDescent="0.25">
      <c r="A9" s="106"/>
      <c r="B9" s="520"/>
      <c r="C9" s="521"/>
      <c r="D9" s="521"/>
      <c r="E9" s="521"/>
      <c r="F9" s="521"/>
      <c r="G9" s="521"/>
      <c r="H9" s="521"/>
      <c r="I9" s="521"/>
      <c r="J9" s="521"/>
      <c r="K9" s="521"/>
      <c r="L9" s="470"/>
      <c r="M9" s="116"/>
    </row>
    <row r="10" spans="1:13" ht="38.25" x14ac:dyDescent="0.25">
      <c r="A10" s="78">
        <v>6</v>
      </c>
      <c r="B10" s="78" t="s">
        <v>442</v>
      </c>
      <c r="C10" s="79" t="s">
        <v>560</v>
      </c>
      <c r="D10" s="58" t="s">
        <v>266</v>
      </c>
      <c r="E10" s="78" t="s">
        <v>507</v>
      </c>
      <c r="F10" s="80" t="s">
        <v>561</v>
      </c>
      <c r="G10" s="79" t="s">
        <v>562</v>
      </c>
      <c r="H10" s="79" t="s">
        <v>563</v>
      </c>
      <c r="I10" s="80" t="s">
        <v>564</v>
      </c>
      <c r="J10" s="358">
        <v>22000</v>
      </c>
      <c r="K10" s="358">
        <v>0</v>
      </c>
      <c r="L10" s="81"/>
      <c r="M10" s="116"/>
    </row>
    <row r="11" spans="1:13" ht="51" x14ac:dyDescent="0.25">
      <c r="A11" s="78">
        <v>7</v>
      </c>
      <c r="B11" s="78" t="s">
        <v>442</v>
      </c>
      <c r="C11" s="79" t="s">
        <v>565</v>
      </c>
      <c r="D11" s="58" t="s">
        <v>266</v>
      </c>
      <c r="E11" s="78" t="s">
        <v>507</v>
      </c>
      <c r="F11" s="80" t="s">
        <v>566</v>
      </c>
      <c r="G11" s="79" t="s">
        <v>567</v>
      </c>
      <c r="H11" s="79" t="s">
        <v>568</v>
      </c>
      <c r="I11" s="80" t="s">
        <v>569</v>
      </c>
      <c r="J11" s="358">
        <v>14454.76</v>
      </c>
      <c r="K11" s="358">
        <v>0</v>
      </c>
      <c r="L11" s="81"/>
      <c r="M11" s="116"/>
    </row>
    <row r="12" spans="1:13" ht="51" x14ac:dyDescent="0.25">
      <c r="A12" s="78">
        <v>8</v>
      </c>
      <c r="B12" s="78" t="s">
        <v>442</v>
      </c>
      <c r="C12" s="79" t="s">
        <v>515</v>
      </c>
      <c r="D12" s="58" t="s">
        <v>266</v>
      </c>
      <c r="E12" s="78" t="s">
        <v>507</v>
      </c>
      <c r="F12" s="80">
        <v>602150</v>
      </c>
      <c r="G12" s="79" t="s">
        <v>570</v>
      </c>
      <c r="H12" s="79" t="s">
        <v>571</v>
      </c>
      <c r="I12" s="80" t="s">
        <v>572</v>
      </c>
      <c r="J12" s="358">
        <v>15797.58</v>
      </c>
      <c r="K12" s="358">
        <v>0</v>
      </c>
      <c r="L12" s="81"/>
      <c r="M12" s="116"/>
    </row>
    <row r="13" spans="1:13" ht="51" x14ac:dyDescent="0.25">
      <c r="A13" s="78">
        <v>9</v>
      </c>
      <c r="B13" s="78" t="s">
        <v>442</v>
      </c>
      <c r="C13" s="79" t="s">
        <v>565</v>
      </c>
      <c r="D13" s="58" t="s">
        <v>266</v>
      </c>
      <c r="E13" s="78" t="s">
        <v>507</v>
      </c>
      <c r="F13" s="80" t="s">
        <v>573</v>
      </c>
      <c r="G13" s="79" t="s">
        <v>562</v>
      </c>
      <c r="H13" s="79" t="s">
        <v>574</v>
      </c>
      <c r="I13" s="80" t="s">
        <v>575</v>
      </c>
      <c r="J13" s="358">
        <v>2182.44</v>
      </c>
      <c r="K13" s="358">
        <v>0</v>
      </c>
      <c r="L13" s="81"/>
      <c r="M13" s="116"/>
    </row>
    <row r="14" spans="1:13" ht="38.25" x14ac:dyDescent="0.25">
      <c r="A14" s="78">
        <v>10</v>
      </c>
      <c r="B14" s="107" t="s">
        <v>442</v>
      </c>
      <c r="C14" s="60" t="s">
        <v>576</v>
      </c>
      <c r="D14" s="58" t="s">
        <v>266</v>
      </c>
      <c r="E14" s="58" t="s">
        <v>507</v>
      </c>
      <c r="F14" s="65" t="s">
        <v>577</v>
      </c>
      <c r="G14" s="79" t="s">
        <v>562</v>
      </c>
      <c r="H14" s="59" t="s">
        <v>578</v>
      </c>
      <c r="I14" s="108" t="s">
        <v>579</v>
      </c>
      <c r="J14" s="358">
        <v>4121.24</v>
      </c>
      <c r="K14" s="358">
        <v>0</v>
      </c>
      <c r="L14" s="81"/>
      <c r="M14" s="116"/>
    </row>
    <row r="15" spans="1:13" ht="25.5" x14ac:dyDescent="0.25">
      <c r="A15" s="78">
        <v>11</v>
      </c>
      <c r="B15" s="78" t="s">
        <v>347</v>
      </c>
      <c r="C15" s="109" t="s">
        <v>516</v>
      </c>
      <c r="D15" s="101" t="s">
        <v>266</v>
      </c>
      <c r="E15" s="101" t="s">
        <v>507</v>
      </c>
      <c r="F15" s="110" t="s">
        <v>580</v>
      </c>
      <c r="G15" s="109" t="s">
        <v>349</v>
      </c>
      <c r="H15" s="109" t="s">
        <v>581</v>
      </c>
      <c r="I15" s="110">
        <v>2015</v>
      </c>
      <c r="J15" s="359">
        <v>8000</v>
      </c>
      <c r="K15" s="359">
        <v>0</v>
      </c>
      <c r="L15" s="111"/>
      <c r="M15" s="116"/>
    </row>
    <row r="16" spans="1:13" ht="22.5" customHeight="1" x14ac:dyDescent="0.25">
      <c r="A16" s="522"/>
      <c r="B16" s="511"/>
      <c r="C16" s="112" t="s">
        <v>526</v>
      </c>
      <c r="D16" s="523"/>
      <c r="E16" s="521"/>
      <c r="F16" s="521"/>
      <c r="G16" s="521"/>
      <c r="H16" s="521"/>
      <c r="I16" s="470"/>
      <c r="J16" s="364">
        <f>SUM(J10:J15)</f>
        <v>66556.02</v>
      </c>
      <c r="K16" s="364">
        <f>SUM(K10:K15)</f>
        <v>0</v>
      </c>
      <c r="L16" s="81"/>
      <c r="M16" s="116"/>
    </row>
    <row r="17" spans="9:9" x14ac:dyDescent="0.25">
      <c r="I17" s="2"/>
    </row>
    <row r="18" spans="9:9" x14ac:dyDescent="0.25">
      <c r="I18" s="2"/>
    </row>
    <row r="19" spans="9:9" x14ac:dyDescent="0.25">
      <c r="I19" s="2"/>
    </row>
    <row r="20" spans="9:9" x14ac:dyDescent="0.25">
      <c r="I20" s="2"/>
    </row>
    <row r="21" spans="9:9" x14ac:dyDescent="0.25">
      <c r="I21" s="2"/>
    </row>
    <row r="22" spans="9:9" x14ac:dyDescent="0.25">
      <c r="I22" s="2"/>
    </row>
    <row r="23" spans="9:9" x14ac:dyDescent="0.25">
      <c r="I23" s="2"/>
    </row>
    <row r="24" spans="9:9" x14ac:dyDescent="0.25">
      <c r="I24" s="2"/>
    </row>
    <row r="25" spans="9:9" x14ac:dyDescent="0.25">
      <c r="I25" s="2"/>
    </row>
    <row r="26" spans="9:9" x14ac:dyDescent="0.25">
      <c r="I26" s="2"/>
    </row>
    <row r="27" spans="9:9" x14ac:dyDescent="0.25">
      <c r="I27" s="2"/>
    </row>
    <row r="28" spans="9:9" x14ac:dyDescent="0.25">
      <c r="I28" s="2"/>
    </row>
  </sheetData>
  <mergeCells count="6">
    <mergeCell ref="A1:M1"/>
    <mergeCell ref="A8:B8"/>
    <mergeCell ref="D8:I8"/>
    <mergeCell ref="B9:L9"/>
    <mergeCell ref="A16:B16"/>
    <mergeCell ref="D16:I1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>
      <selection activeCell="D10" sqref="D10"/>
    </sheetView>
  </sheetViews>
  <sheetFormatPr defaultRowHeight="15.75" x14ac:dyDescent="0.25"/>
  <cols>
    <col min="1" max="1" width="15.25" customWidth="1"/>
    <col min="2" max="2" width="16" customWidth="1"/>
    <col min="3" max="3" width="32.75" customWidth="1"/>
    <col min="4" max="4" width="22" customWidth="1"/>
    <col min="5" max="5" width="13" customWidth="1"/>
  </cols>
  <sheetData>
    <row r="1" spans="1:6" ht="16.5" thickBot="1" x14ac:dyDescent="0.3">
      <c r="A1" s="417" t="s">
        <v>242</v>
      </c>
      <c r="B1" s="417"/>
      <c r="C1" s="417"/>
      <c r="D1" s="417"/>
      <c r="E1" s="417"/>
    </row>
    <row r="2" spans="1:6" s="232" customFormat="1" ht="16.5" thickBot="1" x14ac:dyDescent="0.3">
      <c r="A2" s="134" t="s">
        <v>79</v>
      </c>
      <c r="B2" s="135" t="s">
        <v>80</v>
      </c>
      <c r="C2" s="135" t="s">
        <v>81</v>
      </c>
      <c r="D2" s="135" t="s">
        <v>82</v>
      </c>
      <c r="E2" s="136" t="s">
        <v>83</v>
      </c>
    </row>
    <row r="3" spans="1:6" s="232" customFormat="1" ht="25.5" x14ac:dyDescent="0.25">
      <c r="A3" s="107" t="s">
        <v>735</v>
      </c>
      <c r="B3" s="372" t="s">
        <v>736</v>
      </c>
      <c r="C3" s="346" t="s">
        <v>737</v>
      </c>
      <c r="D3" s="346" t="s">
        <v>738</v>
      </c>
      <c r="E3" s="108" t="s">
        <v>739</v>
      </c>
      <c r="F3" s="373"/>
    </row>
    <row r="4" spans="1:6" s="232" customFormat="1" ht="25.5" x14ac:dyDescent="0.25">
      <c r="A4" s="107" t="s">
        <v>735</v>
      </c>
      <c r="B4" s="372" t="s">
        <v>740</v>
      </c>
      <c r="C4" s="346" t="s">
        <v>737</v>
      </c>
      <c r="D4" s="346" t="s">
        <v>738</v>
      </c>
      <c r="E4" s="108" t="s">
        <v>739</v>
      </c>
      <c r="F4" s="373"/>
    </row>
    <row r="5" spans="1:6" s="232" customFormat="1" ht="25.5" x14ac:dyDescent="0.25">
      <c r="A5" s="107" t="s">
        <v>735</v>
      </c>
      <c r="B5" s="372" t="s">
        <v>741</v>
      </c>
      <c r="C5" s="346" t="s">
        <v>742</v>
      </c>
      <c r="D5" s="346" t="s">
        <v>738</v>
      </c>
      <c r="E5" s="108" t="s">
        <v>743</v>
      </c>
      <c r="F5" s="373"/>
    </row>
    <row r="6" spans="1:6" s="232" customFormat="1" ht="25.5" x14ac:dyDescent="0.25">
      <c r="A6" s="58" t="s">
        <v>735</v>
      </c>
      <c r="B6" s="59" t="s">
        <v>741</v>
      </c>
      <c r="C6" s="60" t="s">
        <v>744</v>
      </c>
      <c r="D6" s="60" t="s">
        <v>745</v>
      </c>
      <c r="E6" s="65" t="s">
        <v>746</v>
      </c>
      <c r="F6" s="373"/>
    </row>
    <row r="7" spans="1:6" s="232" customFormat="1" ht="25.5" x14ac:dyDescent="0.25">
      <c r="A7" s="58" t="s">
        <v>735</v>
      </c>
      <c r="B7" s="59" t="s">
        <v>736</v>
      </c>
      <c r="C7" s="60" t="s">
        <v>747</v>
      </c>
      <c r="D7" s="60" t="s">
        <v>748</v>
      </c>
      <c r="E7" s="65" t="s">
        <v>749</v>
      </c>
      <c r="F7" s="373"/>
    </row>
    <row r="8" spans="1:6" s="232" customFormat="1" ht="25.5" x14ac:dyDescent="0.25">
      <c r="A8" s="58" t="s">
        <v>735</v>
      </c>
      <c r="B8" s="59" t="s">
        <v>740</v>
      </c>
      <c r="C8" s="60" t="s">
        <v>747</v>
      </c>
      <c r="D8" s="60" t="s">
        <v>748</v>
      </c>
      <c r="E8" s="65" t="s">
        <v>749</v>
      </c>
      <c r="F8" s="373"/>
    </row>
    <row r="9" spans="1:6" ht="38.25" x14ac:dyDescent="0.25">
      <c r="A9" s="58" t="s">
        <v>750</v>
      </c>
      <c r="B9" s="59" t="s">
        <v>736</v>
      </c>
      <c r="C9" s="60" t="s">
        <v>751</v>
      </c>
      <c r="D9" s="60" t="s">
        <v>752</v>
      </c>
      <c r="E9" s="65" t="s">
        <v>753</v>
      </c>
      <c r="F9" s="2"/>
    </row>
    <row r="10" spans="1:6" ht="38.25" x14ac:dyDescent="0.25">
      <c r="A10" s="58" t="s">
        <v>750</v>
      </c>
      <c r="B10" s="59" t="s">
        <v>754</v>
      </c>
      <c r="C10" s="60" t="s">
        <v>751</v>
      </c>
      <c r="D10" s="60" t="s">
        <v>752</v>
      </c>
      <c r="E10" s="65" t="s">
        <v>753</v>
      </c>
      <c r="F10" s="2"/>
    </row>
    <row r="11" spans="1:6" ht="51" x14ac:dyDescent="0.25">
      <c r="A11" s="58" t="s">
        <v>750</v>
      </c>
      <c r="B11" s="59" t="s">
        <v>736</v>
      </c>
      <c r="C11" s="60" t="s">
        <v>755</v>
      </c>
      <c r="D11" s="60" t="s">
        <v>756</v>
      </c>
      <c r="E11" s="65" t="s">
        <v>757</v>
      </c>
      <c r="F11" s="2"/>
    </row>
    <row r="12" spans="1:6" ht="38.25" x14ac:dyDescent="0.25">
      <c r="A12" s="58" t="s">
        <v>750</v>
      </c>
      <c r="B12" s="59" t="s">
        <v>736</v>
      </c>
      <c r="C12" s="60" t="s">
        <v>758</v>
      </c>
      <c r="D12" s="60" t="s">
        <v>759</v>
      </c>
      <c r="E12" s="65" t="s">
        <v>760</v>
      </c>
      <c r="F12" s="2"/>
    </row>
    <row r="13" spans="1:6" ht="38.25" x14ac:dyDescent="0.25">
      <c r="A13" s="58" t="s">
        <v>750</v>
      </c>
      <c r="B13" s="59" t="s">
        <v>754</v>
      </c>
      <c r="C13" s="60" t="s">
        <v>758</v>
      </c>
      <c r="D13" s="60" t="s">
        <v>759</v>
      </c>
      <c r="E13" s="65" t="s">
        <v>760</v>
      </c>
      <c r="F13" s="2"/>
    </row>
    <row r="14" spans="1:6" ht="51" x14ac:dyDescent="0.25">
      <c r="A14" s="58" t="s">
        <v>750</v>
      </c>
      <c r="B14" s="59" t="s">
        <v>741</v>
      </c>
      <c r="C14" s="60" t="s">
        <v>755</v>
      </c>
      <c r="D14" s="60" t="s">
        <v>756</v>
      </c>
      <c r="E14" s="65" t="s">
        <v>757</v>
      </c>
      <c r="F14" s="2"/>
    </row>
    <row r="15" spans="1:6" ht="25.5" x14ac:dyDescent="0.25">
      <c r="A15" s="58" t="s">
        <v>750</v>
      </c>
      <c r="B15" s="59" t="s">
        <v>761</v>
      </c>
      <c r="C15" s="60" t="s">
        <v>762</v>
      </c>
      <c r="D15" s="60" t="s">
        <v>763</v>
      </c>
      <c r="E15" s="65" t="s">
        <v>764</v>
      </c>
      <c r="F15" s="2"/>
    </row>
    <row r="16" spans="1:6" ht="25.5" x14ac:dyDescent="0.25">
      <c r="A16" s="58" t="s">
        <v>750</v>
      </c>
      <c r="B16" s="59" t="s">
        <v>765</v>
      </c>
      <c r="C16" s="60" t="s">
        <v>766</v>
      </c>
      <c r="D16" s="60" t="s">
        <v>767</v>
      </c>
      <c r="E16" s="65" t="s">
        <v>768</v>
      </c>
      <c r="F16" s="2"/>
    </row>
    <row r="17" spans="1:6" ht="25.5" x14ac:dyDescent="0.25">
      <c r="A17" s="58" t="s">
        <v>750</v>
      </c>
      <c r="B17" s="59" t="s">
        <v>769</v>
      </c>
      <c r="C17" s="60" t="s">
        <v>770</v>
      </c>
      <c r="D17" s="60" t="s">
        <v>771</v>
      </c>
      <c r="E17" s="65" t="s">
        <v>772</v>
      </c>
      <c r="F17" s="2"/>
    </row>
    <row r="18" spans="1:6" ht="25.5" x14ac:dyDescent="0.25">
      <c r="A18" s="58" t="s">
        <v>773</v>
      </c>
      <c r="B18" s="59" t="s">
        <v>765</v>
      </c>
      <c r="C18" s="60" t="s">
        <v>774</v>
      </c>
      <c r="D18" s="60" t="s">
        <v>775</v>
      </c>
      <c r="E18" s="65" t="s">
        <v>776</v>
      </c>
      <c r="F18" s="2"/>
    </row>
    <row r="19" spans="1:6" ht="25.5" x14ac:dyDescent="0.25">
      <c r="A19" s="58" t="s">
        <v>773</v>
      </c>
      <c r="B19" s="59" t="s">
        <v>765</v>
      </c>
      <c r="C19" s="60" t="s">
        <v>777</v>
      </c>
      <c r="D19" s="60" t="s">
        <v>778</v>
      </c>
      <c r="E19" s="65" t="s">
        <v>779</v>
      </c>
      <c r="F19" s="2"/>
    </row>
    <row r="20" spans="1:6" ht="38.25" x14ac:dyDescent="0.25">
      <c r="A20" s="58" t="s">
        <v>780</v>
      </c>
      <c r="B20" s="59" t="s">
        <v>769</v>
      </c>
      <c r="C20" s="60" t="s">
        <v>781</v>
      </c>
      <c r="D20" s="60" t="s">
        <v>782</v>
      </c>
      <c r="E20" s="65" t="s">
        <v>783</v>
      </c>
      <c r="F20" s="2"/>
    </row>
    <row r="21" spans="1:6" ht="25.5" x14ac:dyDescent="0.25">
      <c r="A21" s="58" t="s">
        <v>780</v>
      </c>
      <c r="B21" s="59" t="s">
        <v>736</v>
      </c>
      <c r="C21" s="60" t="s">
        <v>784</v>
      </c>
      <c r="D21" s="60" t="s">
        <v>785</v>
      </c>
      <c r="E21" s="65" t="s">
        <v>786</v>
      </c>
      <c r="F21" s="2"/>
    </row>
    <row r="22" spans="1:6" ht="38.25" x14ac:dyDescent="0.25">
      <c r="A22" s="58" t="s">
        <v>780</v>
      </c>
      <c r="B22" s="59" t="s">
        <v>740</v>
      </c>
      <c r="C22" s="60" t="s">
        <v>787</v>
      </c>
      <c r="D22" s="60" t="s">
        <v>788</v>
      </c>
      <c r="E22" s="65" t="s">
        <v>789</v>
      </c>
      <c r="F22" s="2"/>
    </row>
    <row r="23" spans="1:6" ht="25.5" x14ac:dyDescent="0.25">
      <c r="A23" s="58" t="s">
        <v>790</v>
      </c>
      <c r="B23" s="59" t="s">
        <v>741</v>
      </c>
      <c r="C23" s="60" t="s">
        <v>791</v>
      </c>
      <c r="D23" s="60" t="s">
        <v>792</v>
      </c>
      <c r="E23" s="65" t="s">
        <v>793</v>
      </c>
      <c r="F23" s="2"/>
    </row>
    <row r="24" spans="1:6" ht="25.5" x14ac:dyDescent="0.25">
      <c r="A24" s="58" t="s">
        <v>790</v>
      </c>
      <c r="B24" s="59" t="s">
        <v>741</v>
      </c>
      <c r="C24" s="60" t="s">
        <v>794</v>
      </c>
      <c r="D24" s="60" t="s">
        <v>795</v>
      </c>
      <c r="E24" s="65" t="s">
        <v>796</v>
      </c>
      <c r="F24" s="2"/>
    </row>
    <row r="25" spans="1:6" ht="38.25" x14ac:dyDescent="0.25">
      <c r="A25" s="58" t="s">
        <v>790</v>
      </c>
      <c r="B25" s="59" t="s">
        <v>741</v>
      </c>
      <c r="C25" s="60" t="s">
        <v>797</v>
      </c>
      <c r="D25" s="60" t="s">
        <v>798</v>
      </c>
      <c r="E25" s="65" t="s">
        <v>799</v>
      </c>
      <c r="F25" s="2"/>
    </row>
    <row r="26" spans="1:6" ht="25.5" x14ac:dyDescent="0.25">
      <c r="A26" s="58" t="s">
        <v>790</v>
      </c>
      <c r="B26" s="59" t="s">
        <v>741</v>
      </c>
      <c r="C26" s="60" t="s">
        <v>800</v>
      </c>
      <c r="D26" s="60" t="s">
        <v>801</v>
      </c>
      <c r="E26" s="65" t="s">
        <v>802</v>
      </c>
      <c r="F26" s="2"/>
    </row>
    <row r="27" spans="1:6" ht="25.5" x14ac:dyDescent="0.25">
      <c r="A27" s="58" t="s">
        <v>790</v>
      </c>
      <c r="B27" s="59" t="s">
        <v>765</v>
      </c>
      <c r="C27" s="60" t="s">
        <v>803</v>
      </c>
      <c r="D27" s="60" t="s">
        <v>804</v>
      </c>
      <c r="E27" s="65" t="s">
        <v>805</v>
      </c>
      <c r="F27" s="2"/>
    </row>
    <row r="28" spans="1:6" ht="25.5" x14ac:dyDescent="0.25">
      <c r="A28" s="58" t="s">
        <v>790</v>
      </c>
      <c r="B28" s="59" t="s">
        <v>741</v>
      </c>
      <c r="C28" s="60" t="s">
        <v>806</v>
      </c>
      <c r="D28" s="60" t="s">
        <v>807</v>
      </c>
      <c r="E28" s="65" t="s">
        <v>808</v>
      </c>
      <c r="F28" s="2"/>
    </row>
    <row r="29" spans="1:6" ht="25.5" x14ac:dyDescent="0.25">
      <c r="A29" s="58" t="s">
        <v>809</v>
      </c>
      <c r="B29" s="59" t="s">
        <v>765</v>
      </c>
      <c r="C29" s="60" t="s">
        <v>810</v>
      </c>
      <c r="D29" s="60" t="s">
        <v>811</v>
      </c>
      <c r="E29" s="65" t="s">
        <v>812</v>
      </c>
      <c r="F29" s="2"/>
    </row>
    <row r="30" spans="1:6" ht="38.25" x14ac:dyDescent="0.25">
      <c r="A30" s="58" t="s">
        <v>809</v>
      </c>
      <c r="B30" s="59" t="s">
        <v>754</v>
      </c>
      <c r="C30" s="60" t="s">
        <v>813</v>
      </c>
      <c r="D30" s="60" t="s">
        <v>814</v>
      </c>
      <c r="E30" s="65" t="s">
        <v>815</v>
      </c>
      <c r="F30" s="2"/>
    </row>
    <row r="31" spans="1:6" ht="51" x14ac:dyDescent="0.25">
      <c r="A31" s="58" t="s">
        <v>809</v>
      </c>
      <c r="B31" s="59" t="s">
        <v>736</v>
      </c>
      <c r="C31" s="60" t="s">
        <v>816</v>
      </c>
      <c r="D31" s="60" t="s">
        <v>817</v>
      </c>
      <c r="E31" s="65" t="s">
        <v>818</v>
      </c>
      <c r="F31" s="2"/>
    </row>
    <row r="32" spans="1:6" ht="51" x14ac:dyDescent="0.25">
      <c r="A32" s="58" t="s">
        <v>809</v>
      </c>
      <c r="B32" s="59" t="s">
        <v>765</v>
      </c>
      <c r="C32" s="60" t="s">
        <v>819</v>
      </c>
      <c r="D32" s="60" t="s">
        <v>820</v>
      </c>
      <c r="E32" s="65" t="s">
        <v>821</v>
      </c>
      <c r="F32" s="2"/>
    </row>
    <row r="33" spans="1:6" ht="25.5" x14ac:dyDescent="0.25">
      <c r="A33" s="58" t="s">
        <v>822</v>
      </c>
      <c r="B33" s="59" t="s">
        <v>765</v>
      </c>
      <c r="C33" s="60" t="s">
        <v>823</v>
      </c>
      <c r="D33" s="60" t="s">
        <v>824</v>
      </c>
      <c r="E33" s="65" t="s">
        <v>825</v>
      </c>
      <c r="F33" s="2"/>
    </row>
    <row r="34" spans="1:6" ht="25.5" x14ac:dyDescent="0.25">
      <c r="A34" s="58" t="s">
        <v>822</v>
      </c>
      <c r="B34" s="59" t="s">
        <v>736</v>
      </c>
      <c r="C34" s="60" t="s">
        <v>826</v>
      </c>
      <c r="D34" s="60" t="s">
        <v>827</v>
      </c>
      <c r="E34" s="65" t="s">
        <v>828</v>
      </c>
      <c r="F34" s="2"/>
    </row>
    <row r="35" spans="1:6" ht="25.5" x14ac:dyDescent="0.25">
      <c r="A35" s="58" t="s">
        <v>822</v>
      </c>
      <c r="B35" s="59" t="s">
        <v>761</v>
      </c>
      <c r="C35" s="60" t="s">
        <v>829</v>
      </c>
      <c r="D35" s="60" t="s">
        <v>830</v>
      </c>
      <c r="E35" s="65" t="s">
        <v>831</v>
      </c>
      <c r="F35" s="2"/>
    </row>
    <row r="36" spans="1:6" ht="25.5" x14ac:dyDescent="0.25">
      <c r="A36" s="58" t="s">
        <v>822</v>
      </c>
      <c r="B36" s="59" t="s">
        <v>769</v>
      </c>
      <c r="C36" s="60" t="s">
        <v>832</v>
      </c>
      <c r="D36" s="60" t="s">
        <v>833</v>
      </c>
      <c r="E36" s="65" t="s">
        <v>834</v>
      </c>
      <c r="F36" s="2"/>
    </row>
    <row r="37" spans="1:6" ht="25.5" x14ac:dyDescent="0.25">
      <c r="A37" s="58" t="s">
        <v>822</v>
      </c>
      <c r="B37" s="59" t="s">
        <v>769</v>
      </c>
      <c r="C37" s="60" t="s">
        <v>835</v>
      </c>
      <c r="D37" s="60" t="s">
        <v>778</v>
      </c>
      <c r="E37" s="65" t="s">
        <v>836</v>
      </c>
      <c r="F37" s="2"/>
    </row>
    <row r="38" spans="1:6" ht="25.5" x14ac:dyDescent="0.25">
      <c r="A38" s="58" t="s">
        <v>822</v>
      </c>
      <c r="B38" s="59" t="s">
        <v>765</v>
      </c>
      <c r="C38" s="60" t="s">
        <v>837</v>
      </c>
      <c r="D38" s="60" t="s">
        <v>838</v>
      </c>
      <c r="E38" s="65" t="s">
        <v>839</v>
      </c>
      <c r="F38" s="2"/>
    </row>
    <row r="39" spans="1:6" ht="38.25" x14ac:dyDescent="0.25">
      <c r="A39" s="58" t="s">
        <v>840</v>
      </c>
      <c r="B39" s="59" t="s">
        <v>736</v>
      </c>
      <c r="C39" s="60" t="s">
        <v>841</v>
      </c>
      <c r="D39" s="60" t="s">
        <v>842</v>
      </c>
      <c r="E39" s="65" t="s">
        <v>843</v>
      </c>
      <c r="F39" s="2"/>
    </row>
    <row r="40" spans="1:6" ht="25.5" x14ac:dyDescent="0.25">
      <c r="A40" s="58" t="s">
        <v>844</v>
      </c>
      <c r="B40" s="59" t="s">
        <v>754</v>
      </c>
      <c r="C40" s="60" t="s">
        <v>800</v>
      </c>
      <c r="D40" s="60" t="s">
        <v>801</v>
      </c>
      <c r="E40" s="65" t="s">
        <v>802</v>
      </c>
      <c r="F40" s="2"/>
    </row>
    <row r="41" spans="1:6" ht="25.5" x14ac:dyDescent="0.25">
      <c r="A41" s="58" t="s">
        <v>844</v>
      </c>
      <c r="B41" s="59" t="s">
        <v>736</v>
      </c>
      <c r="C41" s="60" t="s">
        <v>800</v>
      </c>
      <c r="D41" s="60" t="s">
        <v>801</v>
      </c>
      <c r="E41" s="65" t="s">
        <v>802</v>
      </c>
      <c r="F41" s="2"/>
    </row>
    <row r="42" spans="1:6" ht="25.5" x14ac:dyDescent="0.25">
      <c r="A42" s="58" t="s">
        <v>845</v>
      </c>
      <c r="B42" s="59" t="s">
        <v>736</v>
      </c>
      <c r="C42" s="60" t="s">
        <v>846</v>
      </c>
      <c r="D42" s="60" t="s">
        <v>847</v>
      </c>
      <c r="E42" s="65" t="s">
        <v>848</v>
      </c>
      <c r="F42" s="2"/>
    </row>
    <row r="43" spans="1:6" ht="25.5" x14ac:dyDescent="0.25">
      <c r="A43" s="58" t="s">
        <v>849</v>
      </c>
      <c r="B43" s="59" t="s">
        <v>761</v>
      </c>
      <c r="C43" s="60" t="s">
        <v>850</v>
      </c>
      <c r="D43" s="60" t="s">
        <v>851</v>
      </c>
      <c r="E43" s="65" t="s">
        <v>852</v>
      </c>
      <c r="F43" s="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topLeftCell="A22" zoomScaleNormal="100" zoomScaleSheetLayoutView="100" workbookViewId="0">
      <selection sqref="A1:L1"/>
    </sheetView>
  </sheetViews>
  <sheetFormatPr defaultRowHeight="15.75" x14ac:dyDescent="0.25"/>
  <cols>
    <col min="1" max="1" width="15.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406" t="s">
        <v>204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x14ac:dyDescent="0.25">
      <c r="A2" s="400" t="s">
        <v>585</v>
      </c>
      <c r="B2" s="402" t="s">
        <v>31</v>
      </c>
      <c r="C2" s="404" t="s">
        <v>32</v>
      </c>
      <c r="D2" s="404"/>
      <c r="E2" s="404"/>
      <c r="F2" s="404"/>
      <c r="G2" s="404" t="s">
        <v>33</v>
      </c>
      <c r="H2" s="404"/>
      <c r="I2" s="404"/>
      <c r="J2" s="404"/>
      <c r="K2" s="404" t="s">
        <v>34</v>
      </c>
      <c r="L2" s="405"/>
    </row>
    <row r="3" spans="1:12" ht="26.25" customHeight="1" thickBot="1" x14ac:dyDescent="0.3">
      <c r="A3" s="401"/>
      <c r="B3" s="403"/>
      <c r="C3" s="125" t="s">
        <v>0</v>
      </c>
      <c r="D3" s="125" t="s">
        <v>213</v>
      </c>
      <c r="E3" s="125" t="s">
        <v>1</v>
      </c>
      <c r="F3" s="125" t="s">
        <v>213</v>
      </c>
      <c r="G3" s="125" t="s">
        <v>0</v>
      </c>
      <c r="H3" s="125" t="s">
        <v>213</v>
      </c>
      <c r="I3" s="125" t="s">
        <v>1</v>
      </c>
      <c r="J3" s="125" t="s">
        <v>213</v>
      </c>
      <c r="K3" s="125" t="s">
        <v>202</v>
      </c>
      <c r="L3" s="126" t="s">
        <v>213</v>
      </c>
    </row>
    <row r="4" spans="1:12" ht="13.5" customHeight="1" x14ac:dyDescent="0.25">
      <c r="A4" s="391" t="s">
        <v>600</v>
      </c>
      <c r="B4" s="117">
        <v>1</v>
      </c>
      <c r="C4" s="117">
        <v>397</v>
      </c>
      <c r="D4" s="117">
        <v>299</v>
      </c>
      <c r="E4" s="117">
        <v>3</v>
      </c>
      <c r="F4" s="117">
        <v>2</v>
      </c>
      <c r="G4" s="117">
        <v>154</v>
      </c>
      <c r="H4" s="117">
        <v>112</v>
      </c>
      <c r="I4" s="117">
        <v>0</v>
      </c>
      <c r="J4" s="117">
        <v>0</v>
      </c>
      <c r="K4" s="127">
        <f>+C4+E4+G4+I4</f>
        <v>554</v>
      </c>
      <c r="L4" s="129">
        <f>+D4+F4+H4+J4</f>
        <v>413</v>
      </c>
    </row>
    <row r="5" spans="1:12" ht="13.5" customHeight="1" x14ac:dyDescent="0.25">
      <c r="A5" s="392"/>
      <c r="B5" s="119">
        <v>2</v>
      </c>
      <c r="C5" s="119">
        <v>238</v>
      </c>
      <c r="D5" s="119">
        <v>180</v>
      </c>
      <c r="E5" s="119">
        <v>2</v>
      </c>
      <c r="F5" s="119">
        <v>1</v>
      </c>
      <c r="G5" s="119">
        <v>7</v>
      </c>
      <c r="H5" s="119">
        <v>2</v>
      </c>
      <c r="I5" s="119">
        <v>0</v>
      </c>
      <c r="J5" s="119">
        <v>0</v>
      </c>
      <c r="K5" s="121">
        <f t="shared" ref="K5:L31" si="0">+C5+E5+G5+I5</f>
        <v>247</v>
      </c>
      <c r="L5" s="130">
        <f t="shared" si="0"/>
        <v>183</v>
      </c>
    </row>
    <row r="6" spans="1:12" ht="13.5" customHeight="1" x14ac:dyDescent="0.25">
      <c r="A6" s="392"/>
      <c r="B6" s="119" t="s">
        <v>3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21">
        <f t="shared" si="0"/>
        <v>0</v>
      </c>
      <c r="L6" s="130">
        <f t="shared" si="0"/>
        <v>0</v>
      </c>
    </row>
    <row r="7" spans="1:12" ht="13.5" customHeight="1" x14ac:dyDescent="0.25">
      <c r="A7" s="393"/>
      <c r="B7" s="119">
        <v>3</v>
      </c>
      <c r="C7" s="119">
        <v>16</v>
      </c>
      <c r="D7" s="119">
        <v>7</v>
      </c>
      <c r="E7" s="119">
        <v>0</v>
      </c>
      <c r="F7" s="119">
        <v>0</v>
      </c>
      <c r="G7" s="119">
        <v>21</v>
      </c>
      <c r="H7" s="119">
        <v>15</v>
      </c>
      <c r="I7" s="119">
        <v>0</v>
      </c>
      <c r="J7" s="119">
        <v>0</v>
      </c>
      <c r="K7" s="121">
        <f t="shared" si="0"/>
        <v>37</v>
      </c>
      <c r="L7" s="130">
        <f t="shared" si="0"/>
        <v>22</v>
      </c>
    </row>
    <row r="8" spans="1:12" ht="17.25" customHeight="1" x14ac:dyDescent="0.25">
      <c r="A8" s="413" t="s">
        <v>587</v>
      </c>
      <c r="B8" s="414"/>
      <c r="C8" s="142">
        <f>+SUBTOTAL(9,C4:C7)</f>
        <v>651</v>
      </c>
      <c r="D8" s="142">
        <f>+SUBTOTAL(9,D4:D7)</f>
        <v>486</v>
      </c>
      <c r="E8" s="142">
        <f>+SUBTOTAL(9,E4:E7)</f>
        <v>5</v>
      </c>
      <c r="F8" s="142">
        <f>+SUBTOTAL(9,F4:F7)</f>
        <v>3</v>
      </c>
      <c r="G8" s="142">
        <f t="shared" ref="G8:J8" si="1">+SUBTOTAL(9,G4:G7)</f>
        <v>182</v>
      </c>
      <c r="H8" s="142">
        <f t="shared" si="1"/>
        <v>129</v>
      </c>
      <c r="I8" s="142">
        <f t="shared" si="1"/>
        <v>0</v>
      </c>
      <c r="J8" s="142">
        <f t="shared" si="1"/>
        <v>0</v>
      </c>
      <c r="K8" s="142">
        <f t="shared" si="0"/>
        <v>838</v>
      </c>
      <c r="L8" s="143">
        <f t="shared" si="0"/>
        <v>618</v>
      </c>
    </row>
    <row r="9" spans="1:12" ht="13.5" customHeight="1" x14ac:dyDescent="0.25">
      <c r="A9" s="394" t="s">
        <v>613</v>
      </c>
      <c r="B9" s="119">
        <v>1</v>
      </c>
      <c r="C9" s="119">
        <v>977</v>
      </c>
      <c r="D9" s="119">
        <v>878</v>
      </c>
      <c r="E9" s="119">
        <v>10</v>
      </c>
      <c r="F9" s="119">
        <v>8</v>
      </c>
      <c r="G9" s="119">
        <v>453</v>
      </c>
      <c r="H9" s="119">
        <v>441</v>
      </c>
      <c r="I9" s="119">
        <v>2</v>
      </c>
      <c r="J9" s="119">
        <v>2</v>
      </c>
      <c r="K9" s="121">
        <f t="shared" si="0"/>
        <v>1442</v>
      </c>
      <c r="L9" s="130">
        <f t="shared" si="0"/>
        <v>1329</v>
      </c>
    </row>
    <row r="10" spans="1:12" ht="13.5" customHeight="1" x14ac:dyDescent="0.25">
      <c r="A10" s="395"/>
      <c r="B10" s="119">
        <v>2</v>
      </c>
      <c r="C10" s="119">
        <v>334</v>
      </c>
      <c r="D10" s="119">
        <v>304</v>
      </c>
      <c r="E10" s="119">
        <v>3</v>
      </c>
      <c r="F10" s="119">
        <v>3</v>
      </c>
      <c r="G10" s="119">
        <v>207</v>
      </c>
      <c r="H10" s="119">
        <v>201</v>
      </c>
      <c r="I10" s="119">
        <v>3</v>
      </c>
      <c r="J10" s="119">
        <v>3</v>
      </c>
      <c r="K10" s="121">
        <f t="shared" si="0"/>
        <v>547</v>
      </c>
      <c r="L10" s="130">
        <f t="shared" si="0"/>
        <v>511</v>
      </c>
    </row>
    <row r="11" spans="1:12" ht="13.5" customHeight="1" x14ac:dyDescent="0.25">
      <c r="A11" s="396"/>
      <c r="B11" s="119" t="s">
        <v>3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1">
        <f t="shared" si="0"/>
        <v>0</v>
      </c>
      <c r="L11" s="130">
        <f t="shared" si="0"/>
        <v>0</v>
      </c>
    </row>
    <row r="12" spans="1:12" ht="13.5" customHeight="1" x14ac:dyDescent="0.25">
      <c r="A12" s="118"/>
      <c r="B12" s="119">
        <v>3</v>
      </c>
      <c r="C12" s="119">
        <v>17</v>
      </c>
      <c r="D12" s="119">
        <v>11</v>
      </c>
      <c r="E12" s="119">
        <v>0</v>
      </c>
      <c r="F12" s="119">
        <v>0</v>
      </c>
      <c r="G12" s="119">
        <v>9</v>
      </c>
      <c r="H12" s="119">
        <v>8</v>
      </c>
      <c r="I12" s="119">
        <v>0</v>
      </c>
      <c r="J12" s="119">
        <v>0</v>
      </c>
      <c r="K12" s="121">
        <f t="shared" si="0"/>
        <v>26</v>
      </c>
      <c r="L12" s="130">
        <f t="shared" si="0"/>
        <v>19</v>
      </c>
    </row>
    <row r="13" spans="1:12" ht="19.5" customHeight="1" x14ac:dyDescent="0.25">
      <c r="A13" s="413" t="s">
        <v>588</v>
      </c>
      <c r="B13" s="414"/>
      <c r="C13" s="142">
        <f>+SUBTOTAL(9,C9:C12)</f>
        <v>1328</v>
      </c>
      <c r="D13" s="142">
        <f>+SUBTOTAL(9,D9:D12)</f>
        <v>1193</v>
      </c>
      <c r="E13" s="142">
        <f>+SUBTOTAL(9,E9:E12)</f>
        <v>13</v>
      </c>
      <c r="F13" s="142">
        <f>+SUBTOTAL(9,F9:F12)</f>
        <v>11</v>
      </c>
      <c r="G13" s="142">
        <f t="shared" ref="G13:J13" si="2">+SUBTOTAL(9,G9:G12)</f>
        <v>669</v>
      </c>
      <c r="H13" s="142">
        <f t="shared" si="2"/>
        <v>650</v>
      </c>
      <c r="I13" s="142">
        <f t="shared" si="2"/>
        <v>5</v>
      </c>
      <c r="J13" s="142">
        <f t="shared" si="2"/>
        <v>5</v>
      </c>
      <c r="K13" s="142">
        <f t="shared" si="0"/>
        <v>2015</v>
      </c>
      <c r="L13" s="143">
        <f t="shared" si="0"/>
        <v>1859</v>
      </c>
    </row>
    <row r="14" spans="1:12" x14ac:dyDescent="0.25">
      <c r="A14" s="397" t="s">
        <v>649</v>
      </c>
      <c r="B14" s="119">
        <v>1</v>
      </c>
      <c r="C14" s="119">
        <v>623</v>
      </c>
      <c r="D14" s="119">
        <v>577</v>
      </c>
      <c r="E14" s="119">
        <v>6</v>
      </c>
      <c r="F14" s="119">
        <v>5</v>
      </c>
      <c r="G14" s="119">
        <v>52</v>
      </c>
      <c r="H14" s="119">
        <v>37</v>
      </c>
      <c r="I14" s="119">
        <v>4</v>
      </c>
      <c r="J14" s="119">
        <v>3</v>
      </c>
      <c r="K14" s="121">
        <f t="shared" si="0"/>
        <v>685</v>
      </c>
      <c r="L14" s="130">
        <f t="shared" si="0"/>
        <v>622</v>
      </c>
    </row>
    <row r="15" spans="1:12" x14ac:dyDescent="0.25">
      <c r="A15" s="398"/>
      <c r="B15" s="119">
        <v>2</v>
      </c>
      <c r="C15" s="119">
        <v>205</v>
      </c>
      <c r="D15" s="119">
        <v>174</v>
      </c>
      <c r="E15" s="119">
        <v>1</v>
      </c>
      <c r="F15" s="119">
        <v>1</v>
      </c>
      <c r="G15" s="119">
        <v>180</v>
      </c>
      <c r="H15" s="119">
        <v>157</v>
      </c>
      <c r="I15" s="119">
        <v>10</v>
      </c>
      <c r="J15" s="119">
        <v>8</v>
      </c>
      <c r="K15" s="121">
        <f t="shared" si="0"/>
        <v>396</v>
      </c>
      <c r="L15" s="130">
        <f t="shared" si="0"/>
        <v>340</v>
      </c>
    </row>
    <row r="16" spans="1:12" x14ac:dyDescent="0.25">
      <c r="A16" s="395"/>
      <c r="B16" s="119" t="s">
        <v>3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21">
        <f t="shared" si="0"/>
        <v>0</v>
      </c>
      <c r="L16" s="130">
        <f t="shared" si="0"/>
        <v>0</v>
      </c>
    </row>
    <row r="17" spans="1:12" x14ac:dyDescent="0.25">
      <c r="A17" s="396"/>
      <c r="B17" s="119">
        <v>3</v>
      </c>
      <c r="C17" s="119">
        <v>15</v>
      </c>
      <c r="D17" s="119">
        <v>13</v>
      </c>
      <c r="E17" s="119">
        <v>0</v>
      </c>
      <c r="F17" s="119">
        <v>0</v>
      </c>
      <c r="G17" s="119">
        <v>20</v>
      </c>
      <c r="H17" s="119">
        <v>14</v>
      </c>
      <c r="I17" s="119">
        <v>20</v>
      </c>
      <c r="J17" s="119">
        <v>2</v>
      </c>
      <c r="K17" s="121">
        <f t="shared" si="0"/>
        <v>55</v>
      </c>
      <c r="L17" s="130">
        <f t="shared" si="0"/>
        <v>29</v>
      </c>
    </row>
    <row r="18" spans="1:12" ht="19.5" customHeight="1" x14ac:dyDescent="0.25">
      <c r="A18" s="413" t="s">
        <v>650</v>
      </c>
      <c r="B18" s="414"/>
      <c r="C18" s="142">
        <f>+SUBTOTAL(9,C14:C17)</f>
        <v>843</v>
      </c>
      <c r="D18" s="142">
        <f>+SUBTOTAL(9,D14:D17)</f>
        <v>764</v>
      </c>
      <c r="E18" s="142">
        <f>+SUBTOTAL(9,E14:E17)</f>
        <v>7</v>
      </c>
      <c r="F18" s="142">
        <f>+SUBTOTAL(9,F14:F17)</f>
        <v>6</v>
      </c>
      <c r="G18" s="142">
        <f t="shared" ref="G18:J18" si="3">+SUBTOTAL(9,G14:G17)</f>
        <v>252</v>
      </c>
      <c r="H18" s="142">
        <f t="shared" si="3"/>
        <v>208</v>
      </c>
      <c r="I18" s="142">
        <f t="shared" si="3"/>
        <v>34</v>
      </c>
      <c r="J18" s="142">
        <f t="shared" si="3"/>
        <v>13</v>
      </c>
      <c r="K18" s="142">
        <f t="shared" si="0"/>
        <v>1136</v>
      </c>
      <c r="L18" s="143">
        <f t="shared" si="0"/>
        <v>991</v>
      </c>
    </row>
    <row r="19" spans="1:12" x14ac:dyDescent="0.25">
      <c r="A19" s="399" t="s">
        <v>631</v>
      </c>
      <c r="B19" s="119">
        <v>1</v>
      </c>
      <c r="C19" s="119">
        <v>40</v>
      </c>
      <c r="D19" s="119">
        <v>20</v>
      </c>
      <c r="E19" s="119">
        <v>7</v>
      </c>
      <c r="F19" s="119">
        <v>0</v>
      </c>
      <c r="G19" s="119">
        <v>18</v>
      </c>
      <c r="H19" s="119">
        <v>15</v>
      </c>
      <c r="I19" s="119">
        <v>2</v>
      </c>
      <c r="J19" s="119">
        <v>2</v>
      </c>
      <c r="K19" s="121">
        <f t="shared" si="0"/>
        <v>67</v>
      </c>
      <c r="L19" s="130">
        <f t="shared" si="0"/>
        <v>37</v>
      </c>
    </row>
    <row r="20" spans="1:12" x14ac:dyDescent="0.25">
      <c r="A20" s="395"/>
      <c r="B20" s="119">
        <v>2</v>
      </c>
      <c r="C20" s="119">
        <v>28</v>
      </c>
      <c r="D20" s="119">
        <v>8</v>
      </c>
      <c r="E20" s="119">
        <v>2</v>
      </c>
      <c r="F20" s="119">
        <v>0</v>
      </c>
      <c r="G20" s="119">
        <v>12</v>
      </c>
      <c r="H20" s="119">
        <v>7</v>
      </c>
      <c r="I20" s="119">
        <v>1</v>
      </c>
      <c r="J20" s="119">
        <v>1</v>
      </c>
      <c r="K20" s="121">
        <f t="shared" si="0"/>
        <v>43</v>
      </c>
      <c r="L20" s="130">
        <f t="shared" si="0"/>
        <v>16</v>
      </c>
    </row>
    <row r="21" spans="1:12" x14ac:dyDescent="0.25">
      <c r="A21" s="395"/>
      <c r="B21" s="119" t="s">
        <v>3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21">
        <f t="shared" si="0"/>
        <v>0</v>
      </c>
      <c r="L21" s="130">
        <f t="shared" si="0"/>
        <v>0</v>
      </c>
    </row>
    <row r="22" spans="1:12" x14ac:dyDescent="0.25">
      <c r="A22" s="396"/>
      <c r="B22" s="119">
        <v>3</v>
      </c>
      <c r="C22" s="119">
        <v>7</v>
      </c>
      <c r="D22" s="119">
        <v>5</v>
      </c>
      <c r="E22" s="119">
        <v>0</v>
      </c>
      <c r="F22" s="119">
        <v>0</v>
      </c>
      <c r="G22" s="119">
        <v>5</v>
      </c>
      <c r="H22" s="119">
        <v>1</v>
      </c>
      <c r="I22" s="119">
        <v>0</v>
      </c>
      <c r="J22" s="119">
        <v>0</v>
      </c>
      <c r="K22" s="121">
        <f t="shared" si="0"/>
        <v>12</v>
      </c>
      <c r="L22" s="130">
        <f t="shared" si="0"/>
        <v>6</v>
      </c>
    </row>
    <row r="23" spans="1:12" ht="20.25" customHeight="1" x14ac:dyDescent="0.25">
      <c r="A23" s="413" t="s">
        <v>590</v>
      </c>
      <c r="B23" s="414"/>
      <c r="C23" s="142">
        <f>+SUBTOTAL(9,C19:C22)</f>
        <v>75</v>
      </c>
      <c r="D23" s="142">
        <f>+SUBTOTAL(9,D19:D22)</f>
        <v>33</v>
      </c>
      <c r="E23" s="142">
        <f>+SUBTOTAL(9,E19:E22)</f>
        <v>9</v>
      </c>
      <c r="F23" s="142">
        <f>+SUBTOTAL(9,F19:F22)</f>
        <v>0</v>
      </c>
      <c r="G23" s="142">
        <f t="shared" ref="G23:J23" si="4">+SUBTOTAL(9,G19:G22)</f>
        <v>35</v>
      </c>
      <c r="H23" s="142">
        <f t="shared" si="4"/>
        <v>23</v>
      </c>
      <c r="I23" s="142">
        <f t="shared" si="4"/>
        <v>3</v>
      </c>
      <c r="J23" s="142">
        <f t="shared" si="4"/>
        <v>3</v>
      </c>
      <c r="K23" s="142">
        <f t="shared" si="0"/>
        <v>122</v>
      </c>
      <c r="L23" s="143">
        <f t="shared" si="0"/>
        <v>59</v>
      </c>
    </row>
    <row r="24" spans="1:12" x14ac:dyDescent="0.25">
      <c r="A24" s="394" t="s">
        <v>630</v>
      </c>
      <c r="B24" s="119">
        <v>1</v>
      </c>
      <c r="C24" s="119">
        <v>465</v>
      </c>
      <c r="D24" s="119">
        <v>279</v>
      </c>
      <c r="E24" s="119">
        <v>3</v>
      </c>
      <c r="F24" s="119">
        <v>1</v>
      </c>
      <c r="G24" s="119">
        <v>133</v>
      </c>
      <c r="H24" s="119">
        <v>68</v>
      </c>
      <c r="I24" s="119">
        <v>0</v>
      </c>
      <c r="J24" s="119">
        <v>0</v>
      </c>
      <c r="K24" s="121">
        <f t="shared" si="0"/>
        <v>601</v>
      </c>
      <c r="L24" s="130">
        <f t="shared" si="0"/>
        <v>348</v>
      </c>
    </row>
    <row r="25" spans="1:12" x14ac:dyDescent="0.25">
      <c r="A25" s="395"/>
      <c r="B25" s="119">
        <v>2</v>
      </c>
      <c r="C25" s="119">
        <v>280</v>
      </c>
      <c r="D25" s="119">
        <v>172</v>
      </c>
      <c r="E25" s="119">
        <v>5</v>
      </c>
      <c r="F25" s="119">
        <v>4</v>
      </c>
      <c r="G25" s="119">
        <v>124</v>
      </c>
      <c r="H25" s="119">
        <v>71</v>
      </c>
      <c r="I25" s="119">
        <v>5</v>
      </c>
      <c r="J25" s="119">
        <v>1</v>
      </c>
      <c r="K25" s="121">
        <f t="shared" si="0"/>
        <v>414</v>
      </c>
      <c r="L25" s="130">
        <f t="shared" si="0"/>
        <v>248</v>
      </c>
    </row>
    <row r="26" spans="1:12" x14ac:dyDescent="0.25">
      <c r="A26" s="395"/>
      <c r="B26" s="119" t="s">
        <v>3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21">
        <f t="shared" si="0"/>
        <v>0</v>
      </c>
      <c r="L26" s="130">
        <f t="shared" si="0"/>
        <v>0</v>
      </c>
    </row>
    <row r="27" spans="1:12" x14ac:dyDescent="0.25">
      <c r="A27" s="396"/>
      <c r="B27" s="119">
        <v>3</v>
      </c>
      <c r="C27" s="119">
        <v>18</v>
      </c>
      <c r="D27" s="119">
        <v>5</v>
      </c>
      <c r="E27" s="119">
        <v>1</v>
      </c>
      <c r="F27" s="119">
        <v>0</v>
      </c>
      <c r="G27" s="119">
        <v>49</v>
      </c>
      <c r="H27" s="119">
        <v>25</v>
      </c>
      <c r="I27" s="119">
        <v>0</v>
      </c>
      <c r="J27" s="119">
        <v>0</v>
      </c>
      <c r="K27" s="121">
        <f t="shared" si="0"/>
        <v>68</v>
      </c>
      <c r="L27" s="130">
        <f t="shared" si="0"/>
        <v>30</v>
      </c>
    </row>
    <row r="28" spans="1:12" ht="20.25" customHeight="1" thickBot="1" x14ac:dyDescent="0.3">
      <c r="A28" s="413" t="s">
        <v>591</v>
      </c>
      <c r="B28" s="414"/>
      <c r="C28" s="142">
        <f>+SUBTOTAL(9,C24:C27)</f>
        <v>763</v>
      </c>
      <c r="D28" s="142">
        <f>+SUBTOTAL(9,D24:D27)</f>
        <v>456</v>
      </c>
      <c r="E28" s="142">
        <f>+SUBTOTAL(9,E24:E27)</f>
        <v>9</v>
      </c>
      <c r="F28" s="142">
        <f>+SUBTOTAL(9,F24:F27)</f>
        <v>5</v>
      </c>
      <c r="G28" s="142">
        <f t="shared" ref="G28:J28" si="5">+SUBTOTAL(9,G24:G27)</f>
        <v>306</v>
      </c>
      <c r="H28" s="142">
        <f t="shared" si="5"/>
        <v>164</v>
      </c>
      <c r="I28" s="142">
        <f t="shared" si="5"/>
        <v>5</v>
      </c>
      <c r="J28" s="142">
        <f t="shared" si="5"/>
        <v>1</v>
      </c>
      <c r="K28" s="142">
        <f t="shared" si="0"/>
        <v>1083</v>
      </c>
      <c r="L28" s="143">
        <f t="shared" si="0"/>
        <v>626</v>
      </c>
    </row>
    <row r="29" spans="1:12" ht="16.5" hidden="1" thickBot="1" x14ac:dyDescent="0.3">
      <c r="A29" s="118" t="s">
        <v>122</v>
      </c>
      <c r="B29" s="119">
        <v>1</v>
      </c>
      <c r="C29" s="119"/>
      <c r="D29" s="119"/>
      <c r="E29" s="119"/>
      <c r="F29" s="119"/>
      <c r="G29" s="119"/>
      <c r="H29" s="119"/>
      <c r="I29" s="119"/>
      <c r="J29" s="119"/>
      <c r="K29" s="121">
        <f t="shared" si="0"/>
        <v>0</v>
      </c>
      <c r="L29" s="130">
        <f t="shared" si="0"/>
        <v>0</v>
      </c>
    </row>
    <row r="30" spans="1:12" ht="16.5" hidden="1" thickBot="1" x14ac:dyDescent="0.3">
      <c r="A30" s="118"/>
      <c r="B30" s="119">
        <v>2</v>
      </c>
      <c r="C30" s="119"/>
      <c r="D30" s="119"/>
      <c r="E30" s="119"/>
      <c r="F30" s="119"/>
      <c r="G30" s="119"/>
      <c r="H30" s="119"/>
      <c r="I30" s="119"/>
      <c r="J30" s="119"/>
      <c r="K30" s="121">
        <f t="shared" si="0"/>
        <v>0</v>
      </c>
      <c r="L30" s="130">
        <f t="shared" si="0"/>
        <v>0</v>
      </c>
    </row>
    <row r="31" spans="1:12" ht="16.5" hidden="1" thickBot="1" x14ac:dyDescent="0.3">
      <c r="A31" s="118"/>
      <c r="B31" s="119" t="s">
        <v>3</v>
      </c>
      <c r="C31" s="119"/>
      <c r="D31" s="119"/>
      <c r="E31" s="119"/>
      <c r="F31" s="119"/>
      <c r="G31" s="119"/>
      <c r="H31" s="119"/>
      <c r="I31" s="119"/>
      <c r="J31" s="119"/>
      <c r="K31" s="121">
        <f t="shared" si="0"/>
        <v>0</v>
      </c>
      <c r="L31" s="130">
        <f t="shared" si="0"/>
        <v>0</v>
      </c>
    </row>
    <row r="32" spans="1:12" ht="16.5" hidden="1" thickBot="1" x14ac:dyDescent="0.3">
      <c r="A32" s="118"/>
      <c r="B32" s="119">
        <v>3</v>
      </c>
      <c r="C32" s="119"/>
      <c r="D32" s="119"/>
      <c r="E32" s="119"/>
      <c r="F32" s="119"/>
      <c r="G32" s="119"/>
      <c r="H32" s="119"/>
      <c r="I32" s="119"/>
      <c r="J32" s="119"/>
      <c r="K32" s="121">
        <f>+C32+E32+G32+I32</f>
        <v>0</v>
      </c>
      <c r="L32" s="130">
        <f>+D32+F32+H32+J32</f>
        <v>0</v>
      </c>
    </row>
    <row r="33" spans="1:12" ht="16.5" hidden="1" thickBot="1" x14ac:dyDescent="0.3">
      <c r="A33" s="415" t="s">
        <v>123</v>
      </c>
      <c r="B33" s="416"/>
      <c r="C33" s="128">
        <f>+SUBTOTAL(9,C29:C32)</f>
        <v>0</v>
      </c>
      <c r="D33" s="128">
        <f>+SUBTOTAL(9,D29:D32)</f>
        <v>0</v>
      </c>
      <c r="E33" s="128">
        <f>+SUBTOTAL(9,E29:E32)</f>
        <v>0</v>
      </c>
      <c r="F33" s="128">
        <f>+SUBTOTAL(9,F29:F32)</f>
        <v>0</v>
      </c>
      <c r="G33" s="128">
        <f t="shared" ref="G33:J33" si="6">+SUBTOTAL(9,G29:G32)</f>
        <v>0</v>
      </c>
      <c r="H33" s="128">
        <f t="shared" si="6"/>
        <v>0</v>
      </c>
      <c r="I33" s="128">
        <f t="shared" si="6"/>
        <v>0</v>
      </c>
      <c r="J33" s="128">
        <f t="shared" si="6"/>
        <v>0</v>
      </c>
      <c r="K33" s="128">
        <f t="shared" ref="K33:L38" si="7">+C33+E33+G33+I33</f>
        <v>0</v>
      </c>
      <c r="L33" s="131">
        <f t="shared" si="7"/>
        <v>0</v>
      </c>
    </row>
    <row r="34" spans="1:12" x14ac:dyDescent="0.25">
      <c r="A34" s="410" t="s">
        <v>126</v>
      </c>
      <c r="B34" s="120">
        <v>1</v>
      </c>
      <c r="C34" s="120">
        <f t="shared" ref="C34:J37" si="8">+C4+C9+C14+C19+C24+C29</f>
        <v>2502</v>
      </c>
      <c r="D34" s="120">
        <f t="shared" si="8"/>
        <v>2053</v>
      </c>
      <c r="E34" s="120">
        <f t="shared" si="8"/>
        <v>29</v>
      </c>
      <c r="F34" s="120">
        <f t="shared" si="8"/>
        <v>16</v>
      </c>
      <c r="G34" s="120">
        <f t="shared" si="8"/>
        <v>810</v>
      </c>
      <c r="H34" s="120">
        <f t="shared" si="8"/>
        <v>673</v>
      </c>
      <c r="I34" s="120">
        <f t="shared" si="8"/>
        <v>8</v>
      </c>
      <c r="J34" s="120">
        <f t="shared" si="8"/>
        <v>7</v>
      </c>
      <c r="K34" s="120">
        <f t="shared" si="7"/>
        <v>3349</v>
      </c>
      <c r="L34" s="132">
        <f t="shared" si="7"/>
        <v>2749</v>
      </c>
    </row>
    <row r="35" spans="1:12" x14ac:dyDescent="0.25">
      <c r="A35" s="411"/>
      <c r="B35" s="121">
        <v>2</v>
      </c>
      <c r="C35" s="121">
        <f t="shared" si="8"/>
        <v>1085</v>
      </c>
      <c r="D35" s="121">
        <f t="shared" si="8"/>
        <v>838</v>
      </c>
      <c r="E35" s="121">
        <f t="shared" si="8"/>
        <v>13</v>
      </c>
      <c r="F35" s="121">
        <f t="shared" si="8"/>
        <v>9</v>
      </c>
      <c r="G35" s="121">
        <f t="shared" si="8"/>
        <v>530</v>
      </c>
      <c r="H35" s="121">
        <f t="shared" si="8"/>
        <v>438</v>
      </c>
      <c r="I35" s="121">
        <f t="shared" si="8"/>
        <v>19</v>
      </c>
      <c r="J35" s="121">
        <f t="shared" si="8"/>
        <v>13</v>
      </c>
      <c r="K35" s="121">
        <f t="shared" si="7"/>
        <v>1647</v>
      </c>
      <c r="L35" s="130">
        <f t="shared" si="7"/>
        <v>1298</v>
      </c>
    </row>
    <row r="36" spans="1:12" x14ac:dyDescent="0.25">
      <c r="A36" s="411"/>
      <c r="B36" s="121" t="s">
        <v>3</v>
      </c>
      <c r="C36" s="121">
        <f t="shared" si="8"/>
        <v>0</v>
      </c>
      <c r="D36" s="121">
        <f t="shared" si="8"/>
        <v>0</v>
      </c>
      <c r="E36" s="121">
        <f t="shared" si="8"/>
        <v>0</v>
      </c>
      <c r="F36" s="121">
        <f t="shared" si="8"/>
        <v>0</v>
      </c>
      <c r="G36" s="121">
        <f t="shared" si="8"/>
        <v>0</v>
      </c>
      <c r="H36" s="121">
        <f t="shared" si="8"/>
        <v>0</v>
      </c>
      <c r="I36" s="121">
        <f t="shared" si="8"/>
        <v>0</v>
      </c>
      <c r="J36" s="121">
        <f t="shared" si="8"/>
        <v>0</v>
      </c>
      <c r="K36" s="121">
        <f t="shared" si="7"/>
        <v>0</v>
      </c>
      <c r="L36" s="130">
        <f t="shared" si="7"/>
        <v>0</v>
      </c>
    </row>
    <row r="37" spans="1:12" ht="16.5" thickBot="1" x14ac:dyDescent="0.3">
      <c r="A37" s="412"/>
      <c r="B37" s="122">
        <v>3</v>
      </c>
      <c r="C37" s="122">
        <f t="shared" si="8"/>
        <v>73</v>
      </c>
      <c r="D37" s="122">
        <f t="shared" si="8"/>
        <v>41</v>
      </c>
      <c r="E37" s="122">
        <f t="shared" si="8"/>
        <v>1</v>
      </c>
      <c r="F37" s="122">
        <f t="shared" si="8"/>
        <v>0</v>
      </c>
      <c r="G37" s="122">
        <f t="shared" si="8"/>
        <v>104</v>
      </c>
      <c r="H37" s="122">
        <f t="shared" si="8"/>
        <v>63</v>
      </c>
      <c r="I37" s="122">
        <f t="shared" si="8"/>
        <v>20</v>
      </c>
      <c r="J37" s="122">
        <f t="shared" si="8"/>
        <v>2</v>
      </c>
      <c r="K37" s="122">
        <f t="shared" si="7"/>
        <v>198</v>
      </c>
      <c r="L37" s="133">
        <f t="shared" si="7"/>
        <v>106</v>
      </c>
    </row>
    <row r="38" spans="1:12" ht="16.5" thickBot="1" x14ac:dyDescent="0.3">
      <c r="A38" s="408" t="s">
        <v>651</v>
      </c>
      <c r="B38" s="409"/>
      <c r="C38" s="144">
        <f>SUM(C34:C37)</f>
        <v>3660</v>
      </c>
      <c r="D38" s="144">
        <f>SUM(D34:D37)</f>
        <v>2932</v>
      </c>
      <c r="E38" s="144">
        <f>SUM(E34:E37)</f>
        <v>43</v>
      </c>
      <c r="F38" s="144">
        <f>SUM(F34:F37)</f>
        <v>25</v>
      </c>
      <c r="G38" s="144">
        <f t="shared" ref="G38:J38" si="9">SUM(G34:G37)</f>
        <v>1444</v>
      </c>
      <c r="H38" s="144">
        <f t="shared" si="9"/>
        <v>1174</v>
      </c>
      <c r="I38" s="144">
        <f t="shared" si="9"/>
        <v>47</v>
      </c>
      <c r="J38" s="144">
        <f t="shared" si="9"/>
        <v>22</v>
      </c>
      <c r="K38" s="144">
        <f t="shared" si="7"/>
        <v>5194</v>
      </c>
      <c r="L38" s="145">
        <f t="shared" si="7"/>
        <v>4153</v>
      </c>
    </row>
    <row r="39" spans="1:12" s="25" customFormat="1" x14ac:dyDescent="0.25">
      <c r="A39" s="123"/>
      <c r="B39" s="116"/>
      <c r="C39" s="124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25">
      <c r="A40" s="87" t="s">
        <v>35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</row>
  </sheetData>
  <mergeCells count="19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  <mergeCell ref="A4:A7"/>
    <mergeCell ref="A9:A11"/>
    <mergeCell ref="A14:A17"/>
    <mergeCell ref="A19:A22"/>
    <mergeCell ref="A24:A27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7" zoomScaleNormal="100" zoomScaleSheetLayoutView="100" workbookViewId="0">
      <selection activeCell="A9" sqref="A9:G9"/>
    </sheetView>
  </sheetViews>
  <sheetFormatPr defaultRowHeight="15.75" x14ac:dyDescent="0.25"/>
  <cols>
    <col min="1" max="6" width="10.625" customWidth="1"/>
    <col min="7" max="7" width="11.5" customWidth="1"/>
  </cols>
  <sheetData>
    <row r="1" spans="1:7" x14ac:dyDescent="0.25">
      <c r="A1" s="417" t="s">
        <v>4</v>
      </c>
      <c r="B1" s="418"/>
      <c r="C1" s="418"/>
      <c r="D1" s="418"/>
      <c r="E1" s="418"/>
      <c r="F1" s="418"/>
      <c r="G1" s="418"/>
    </row>
    <row r="2" spans="1:7" ht="16.5" thickBot="1" x14ac:dyDescent="0.3">
      <c r="A2" s="419" t="s">
        <v>32</v>
      </c>
      <c r="B2" s="419"/>
      <c r="C2" s="419"/>
      <c r="D2" s="419"/>
      <c r="E2" s="419"/>
      <c r="F2" s="419"/>
      <c r="G2" s="419"/>
    </row>
    <row r="3" spans="1:7" ht="16.5" thickBot="1" x14ac:dyDescent="0.3">
      <c r="A3" s="134" t="s">
        <v>26</v>
      </c>
      <c r="B3" s="135">
        <v>2015</v>
      </c>
      <c r="C3" s="135">
        <v>2014</v>
      </c>
      <c r="D3" s="135">
        <v>2013</v>
      </c>
      <c r="E3" s="135">
        <v>2012</v>
      </c>
      <c r="F3" s="135">
        <v>2011</v>
      </c>
      <c r="G3" s="136">
        <v>2010</v>
      </c>
    </row>
    <row r="4" spans="1:7" x14ac:dyDescent="0.25">
      <c r="A4" s="117">
        <v>1</v>
      </c>
      <c r="B4" s="117">
        <v>2531</v>
      </c>
      <c r="C4" s="117">
        <v>2654</v>
      </c>
      <c r="D4" s="117">
        <v>2723</v>
      </c>
      <c r="E4" s="117">
        <v>2691</v>
      </c>
      <c r="F4" s="117">
        <v>2730</v>
      </c>
      <c r="G4" s="117">
        <v>2894</v>
      </c>
    </row>
    <row r="5" spans="1:7" x14ac:dyDescent="0.25">
      <c r="A5" s="119">
        <v>2</v>
      </c>
      <c r="B5" s="119">
        <v>1098</v>
      </c>
      <c r="C5" s="119">
        <v>1141</v>
      </c>
      <c r="D5" s="119">
        <v>1461</v>
      </c>
      <c r="E5" s="119">
        <v>1589</v>
      </c>
      <c r="F5" s="119">
        <v>1448</v>
      </c>
      <c r="G5" s="119">
        <v>1496</v>
      </c>
    </row>
    <row r="6" spans="1:7" x14ac:dyDescent="0.25">
      <c r="A6" s="119" t="s">
        <v>3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6</v>
      </c>
    </row>
    <row r="7" spans="1:7" x14ac:dyDescent="0.25">
      <c r="A7" s="119">
        <v>3</v>
      </c>
      <c r="B7" s="119">
        <v>74</v>
      </c>
      <c r="C7" s="119">
        <v>90</v>
      </c>
      <c r="D7" s="119">
        <v>107</v>
      </c>
      <c r="E7" s="119">
        <v>133</v>
      </c>
      <c r="F7" s="119">
        <v>188</v>
      </c>
      <c r="G7" s="119">
        <v>188</v>
      </c>
    </row>
    <row r="8" spans="1:7" x14ac:dyDescent="0.25">
      <c r="A8" s="142" t="s">
        <v>34</v>
      </c>
      <c r="B8" s="142">
        <f t="shared" ref="B8:F8" si="0">SUM(B4:B7)</f>
        <v>3703</v>
      </c>
      <c r="C8" s="142">
        <f t="shared" si="0"/>
        <v>3885</v>
      </c>
      <c r="D8" s="142">
        <f>SUM(D4:D7)</f>
        <v>4291</v>
      </c>
      <c r="E8" s="142">
        <f t="shared" si="0"/>
        <v>4413</v>
      </c>
      <c r="F8" s="142">
        <f t="shared" si="0"/>
        <v>4366</v>
      </c>
      <c r="G8" s="142">
        <f>SUM(G4:G7)</f>
        <v>4584</v>
      </c>
    </row>
    <row r="9" spans="1:7" ht="16.5" thickBot="1" x14ac:dyDescent="0.3">
      <c r="A9" s="420" t="s">
        <v>33</v>
      </c>
      <c r="B9" s="420"/>
      <c r="C9" s="420"/>
      <c r="D9" s="420"/>
      <c r="E9" s="420"/>
      <c r="F9" s="420"/>
      <c r="G9" s="420"/>
    </row>
    <row r="10" spans="1:7" ht="16.5" thickBot="1" x14ac:dyDescent="0.3">
      <c r="A10" s="134" t="s">
        <v>26</v>
      </c>
      <c r="B10" s="135">
        <v>2015</v>
      </c>
      <c r="C10" s="135">
        <v>2014</v>
      </c>
      <c r="D10" s="135">
        <v>2013</v>
      </c>
      <c r="E10" s="135">
        <v>2012</v>
      </c>
      <c r="F10" s="135">
        <v>2011</v>
      </c>
      <c r="G10" s="136">
        <v>2010</v>
      </c>
    </row>
    <row r="11" spans="1:7" x14ac:dyDescent="0.25">
      <c r="A11" s="117">
        <v>1</v>
      </c>
      <c r="B11" s="117">
        <v>818</v>
      </c>
      <c r="C11" s="117">
        <v>830</v>
      </c>
      <c r="D11" s="117">
        <v>1009</v>
      </c>
      <c r="E11" s="117">
        <v>1253</v>
      </c>
      <c r="F11" s="117">
        <v>1624</v>
      </c>
      <c r="G11" s="117">
        <v>1766</v>
      </c>
    </row>
    <row r="12" spans="1:7" x14ac:dyDescent="0.25">
      <c r="A12" s="119">
        <v>2</v>
      </c>
      <c r="B12" s="119">
        <v>549</v>
      </c>
      <c r="C12" s="119">
        <v>632</v>
      </c>
      <c r="D12" s="119">
        <v>645</v>
      </c>
      <c r="E12" s="119">
        <v>758</v>
      </c>
      <c r="F12" s="119">
        <v>810</v>
      </c>
      <c r="G12" s="119">
        <v>852</v>
      </c>
    </row>
    <row r="13" spans="1:7" x14ac:dyDescent="0.25">
      <c r="A13" s="119" t="s">
        <v>3</v>
      </c>
      <c r="B13" s="119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1</v>
      </c>
    </row>
    <row r="14" spans="1:7" x14ac:dyDescent="0.25">
      <c r="A14" s="119">
        <v>3</v>
      </c>
      <c r="B14" s="119">
        <v>124</v>
      </c>
      <c r="C14" s="119">
        <v>161</v>
      </c>
      <c r="D14" s="119">
        <v>182</v>
      </c>
      <c r="E14" s="119">
        <v>225</v>
      </c>
      <c r="F14" s="119">
        <v>268</v>
      </c>
      <c r="G14" s="119">
        <v>286</v>
      </c>
    </row>
    <row r="15" spans="1:7" x14ac:dyDescent="0.25">
      <c r="A15" s="142" t="s">
        <v>34</v>
      </c>
      <c r="B15" s="142">
        <f t="shared" ref="B15:G15" si="1">SUM(B11:B14)</f>
        <v>1491</v>
      </c>
      <c r="C15" s="142">
        <f t="shared" si="1"/>
        <v>1623</v>
      </c>
      <c r="D15" s="142">
        <f t="shared" si="1"/>
        <v>1836</v>
      </c>
      <c r="E15" s="142">
        <f t="shared" si="1"/>
        <v>2236</v>
      </c>
      <c r="F15" s="142">
        <f t="shared" si="1"/>
        <v>2702</v>
      </c>
      <c r="G15" s="142">
        <f t="shared" si="1"/>
        <v>2905</v>
      </c>
    </row>
    <row r="16" spans="1:7" ht="16.5" thickBot="1" x14ac:dyDescent="0.3">
      <c r="A16" s="421" t="s">
        <v>124</v>
      </c>
      <c r="B16" s="421"/>
      <c r="C16" s="421"/>
      <c r="D16" s="421"/>
      <c r="E16" s="421"/>
      <c r="F16" s="421"/>
      <c r="G16" s="421"/>
    </row>
    <row r="17" spans="1:7" ht="16.5" thickBot="1" x14ac:dyDescent="0.3">
      <c r="A17" s="134" t="s">
        <v>36</v>
      </c>
      <c r="B17" s="135">
        <v>2015</v>
      </c>
      <c r="C17" s="135">
        <v>2014</v>
      </c>
      <c r="D17" s="135">
        <v>2013</v>
      </c>
      <c r="E17" s="135">
        <v>2012</v>
      </c>
      <c r="F17" s="135">
        <v>2011</v>
      </c>
      <c r="G17" s="136">
        <v>2010</v>
      </c>
    </row>
    <row r="18" spans="1:7" x14ac:dyDescent="0.25">
      <c r="A18" s="127">
        <v>1</v>
      </c>
      <c r="B18" s="127">
        <f t="shared" ref="B18:F21" si="2">+B11+B4</f>
        <v>3349</v>
      </c>
      <c r="C18" s="127">
        <f t="shared" si="2"/>
        <v>3484</v>
      </c>
      <c r="D18" s="127">
        <f>+D11+D4</f>
        <v>3732</v>
      </c>
      <c r="E18" s="127">
        <f t="shared" si="2"/>
        <v>3944</v>
      </c>
      <c r="F18" s="127">
        <f t="shared" si="2"/>
        <v>4354</v>
      </c>
      <c r="G18" s="127">
        <f>+G11+G4</f>
        <v>4660</v>
      </c>
    </row>
    <row r="19" spans="1:7" x14ac:dyDescent="0.25">
      <c r="A19" s="127">
        <v>2</v>
      </c>
      <c r="B19" s="127">
        <f t="shared" si="2"/>
        <v>1647</v>
      </c>
      <c r="C19" s="127">
        <f t="shared" si="2"/>
        <v>1773</v>
      </c>
      <c r="D19" s="127">
        <f>+D12+D5</f>
        <v>2106</v>
      </c>
      <c r="E19" s="127">
        <f t="shared" si="2"/>
        <v>2347</v>
      </c>
      <c r="F19" s="127">
        <f t="shared" si="2"/>
        <v>2258</v>
      </c>
      <c r="G19" s="127">
        <f>+G12+G5</f>
        <v>2348</v>
      </c>
    </row>
    <row r="20" spans="1:7" x14ac:dyDescent="0.25">
      <c r="A20" s="121" t="s">
        <v>3</v>
      </c>
      <c r="B20" s="127">
        <f t="shared" si="2"/>
        <v>0</v>
      </c>
      <c r="C20" s="127">
        <f t="shared" si="2"/>
        <v>0</v>
      </c>
      <c r="D20" s="127">
        <f>+D13+D6</f>
        <v>0</v>
      </c>
      <c r="E20" s="127">
        <f t="shared" si="2"/>
        <v>0</v>
      </c>
      <c r="F20" s="127">
        <f t="shared" si="2"/>
        <v>0</v>
      </c>
      <c r="G20" s="127">
        <f>+G13+G6</f>
        <v>7</v>
      </c>
    </row>
    <row r="21" spans="1:7" x14ac:dyDescent="0.25">
      <c r="A21" s="121">
        <v>3</v>
      </c>
      <c r="B21" s="127">
        <f t="shared" si="2"/>
        <v>198</v>
      </c>
      <c r="C21" s="127">
        <f t="shared" si="2"/>
        <v>251</v>
      </c>
      <c r="D21" s="127">
        <f>+D14+D7</f>
        <v>289</v>
      </c>
      <c r="E21" s="127">
        <f t="shared" si="2"/>
        <v>358</v>
      </c>
      <c r="F21" s="127">
        <f t="shared" si="2"/>
        <v>456</v>
      </c>
      <c r="G21" s="127">
        <f>+G14+G7</f>
        <v>474</v>
      </c>
    </row>
    <row r="22" spans="1:7" x14ac:dyDescent="0.25">
      <c r="A22" s="142" t="s">
        <v>34</v>
      </c>
      <c r="B22" s="142">
        <f t="shared" ref="B22:G22" si="3">SUM(B18:B21)</f>
        <v>5194</v>
      </c>
      <c r="C22" s="142">
        <f t="shared" si="3"/>
        <v>5508</v>
      </c>
      <c r="D22" s="142">
        <f t="shared" si="3"/>
        <v>6127</v>
      </c>
      <c r="E22" s="142">
        <f t="shared" si="3"/>
        <v>6649</v>
      </c>
      <c r="F22" s="142">
        <f t="shared" si="3"/>
        <v>7068</v>
      </c>
      <c r="G22" s="142">
        <f t="shared" si="3"/>
        <v>7489</v>
      </c>
    </row>
    <row r="23" spans="1:7" s="25" customFormat="1" x14ac:dyDescent="0.25">
      <c r="A23" s="124"/>
      <c r="B23" s="124"/>
      <c r="C23" s="124"/>
      <c r="D23" s="124"/>
      <c r="E23" s="124"/>
      <c r="F23" s="124"/>
      <c r="G23" s="124"/>
    </row>
    <row r="24" spans="1:7" x14ac:dyDescent="0.25">
      <c r="A24" s="87" t="s">
        <v>35</v>
      </c>
      <c r="B24" s="87"/>
      <c r="C24" s="87"/>
      <c r="D24" s="87"/>
      <c r="E24" s="87"/>
      <c r="F24" s="87"/>
      <c r="G24" s="87"/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view="pageBreakPreview" zoomScaleNormal="100" zoomScaleSheetLayoutView="100" workbookViewId="0">
      <selection activeCell="P21" sqref="P21"/>
    </sheetView>
  </sheetViews>
  <sheetFormatPr defaultRowHeight="15.75" x14ac:dyDescent="0.25"/>
  <cols>
    <col min="1" max="1" width="16.875" customWidth="1"/>
    <col min="2" max="2" width="11.5" customWidth="1"/>
    <col min="3" max="3" width="6" customWidth="1"/>
    <col min="4" max="4" width="5" customWidth="1"/>
    <col min="5" max="5" width="4.75" customWidth="1"/>
    <col min="6" max="6" width="5" customWidth="1"/>
    <col min="7" max="7" width="5.75" customWidth="1"/>
    <col min="8" max="8" width="5" customWidth="1"/>
    <col min="9" max="9" width="4.75" customWidth="1"/>
    <col min="10" max="10" width="5" customWidth="1"/>
    <col min="11" max="11" width="5.75" customWidth="1"/>
    <col min="12" max="12" width="5.62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422" t="s">
        <v>205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3" x14ac:dyDescent="0.25">
      <c r="A2" s="425" t="s">
        <v>585</v>
      </c>
      <c r="B2" s="402" t="s">
        <v>235</v>
      </c>
      <c r="C2" s="524" t="s">
        <v>32</v>
      </c>
      <c r="D2" s="524"/>
      <c r="E2" s="524"/>
      <c r="F2" s="524"/>
      <c r="G2" s="524" t="s">
        <v>33</v>
      </c>
      <c r="H2" s="524"/>
      <c r="I2" s="524"/>
      <c r="J2" s="524"/>
      <c r="K2" s="423" t="s">
        <v>34</v>
      </c>
      <c r="L2" s="424"/>
      <c r="M2" s="2"/>
    </row>
    <row r="3" spans="1:13" ht="24.75" thickBot="1" x14ac:dyDescent="0.3">
      <c r="A3" s="426"/>
      <c r="B3" s="403"/>
      <c r="C3" s="139" t="s">
        <v>0</v>
      </c>
      <c r="D3" s="139" t="s">
        <v>213</v>
      </c>
      <c r="E3" s="139" t="s">
        <v>1</v>
      </c>
      <c r="F3" s="139" t="s">
        <v>213</v>
      </c>
      <c r="G3" s="139" t="s">
        <v>0</v>
      </c>
      <c r="H3" s="139" t="s">
        <v>213</v>
      </c>
      <c r="I3" s="139" t="s">
        <v>1</v>
      </c>
      <c r="J3" s="139" t="s">
        <v>213</v>
      </c>
      <c r="K3" s="140" t="s">
        <v>202</v>
      </c>
      <c r="L3" s="141" t="s">
        <v>213</v>
      </c>
      <c r="M3" s="2"/>
    </row>
    <row r="4" spans="1:13" x14ac:dyDescent="0.25">
      <c r="A4" s="391" t="s">
        <v>600</v>
      </c>
      <c r="B4" s="117">
        <v>1</v>
      </c>
      <c r="C4" s="117">
        <v>129</v>
      </c>
      <c r="D4" s="117">
        <v>100</v>
      </c>
      <c r="E4" s="117">
        <v>0</v>
      </c>
      <c r="F4" s="117">
        <v>0</v>
      </c>
      <c r="G4" s="117">
        <v>33</v>
      </c>
      <c r="H4" s="117">
        <v>25</v>
      </c>
      <c r="I4" s="117">
        <v>0</v>
      </c>
      <c r="J4" s="117">
        <v>0</v>
      </c>
      <c r="K4" s="127">
        <f>+C4+E4+G4+I4</f>
        <v>162</v>
      </c>
      <c r="L4" s="129">
        <f>+D4+F4+H4+J4</f>
        <v>125</v>
      </c>
    </row>
    <row r="5" spans="1:13" x14ac:dyDescent="0.25">
      <c r="A5" s="392"/>
      <c r="B5" s="119">
        <v>2</v>
      </c>
      <c r="C5" s="119">
        <v>131</v>
      </c>
      <c r="D5" s="119">
        <v>98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21">
        <f t="shared" ref="K5:L38" si="0">+C5+E5+G5+I5</f>
        <v>131</v>
      </c>
      <c r="L5" s="130">
        <f t="shared" si="0"/>
        <v>98</v>
      </c>
    </row>
    <row r="6" spans="1:13" x14ac:dyDescent="0.25">
      <c r="A6" s="392"/>
      <c r="B6" s="119" t="s">
        <v>3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21">
        <f t="shared" si="0"/>
        <v>0</v>
      </c>
      <c r="L6" s="130">
        <f t="shared" si="0"/>
        <v>0</v>
      </c>
    </row>
    <row r="7" spans="1:13" x14ac:dyDescent="0.25">
      <c r="A7" s="393"/>
      <c r="B7" s="119">
        <v>3</v>
      </c>
      <c r="C7" s="119">
        <v>10</v>
      </c>
      <c r="D7" s="119">
        <v>5</v>
      </c>
      <c r="E7" s="119">
        <v>1</v>
      </c>
      <c r="F7" s="119">
        <v>1</v>
      </c>
      <c r="G7" s="119">
        <v>4</v>
      </c>
      <c r="H7" s="119">
        <v>1</v>
      </c>
      <c r="I7" s="119">
        <v>0</v>
      </c>
      <c r="J7" s="119">
        <v>0</v>
      </c>
      <c r="K7" s="121">
        <f t="shared" si="0"/>
        <v>15</v>
      </c>
      <c r="L7" s="130">
        <f t="shared" si="0"/>
        <v>7</v>
      </c>
    </row>
    <row r="8" spans="1:13" x14ac:dyDescent="0.25">
      <c r="A8" s="413" t="s">
        <v>587</v>
      </c>
      <c r="B8" s="414"/>
      <c r="C8" s="142">
        <f>SUM(C4:C7)</f>
        <v>270</v>
      </c>
      <c r="D8" s="142">
        <f>SUM(D4:D7)</f>
        <v>203</v>
      </c>
      <c r="E8" s="142">
        <f>SUM(E4:E7)</f>
        <v>1</v>
      </c>
      <c r="F8" s="142">
        <f>SUM(F4:F7)</f>
        <v>1</v>
      </c>
      <c r="G8" s="142">
        <f>SUM(G4:G7)</f>
        <v>37</v>
      </c>
      <c r="H8" s="142">
        <f t="shared" ref="H8:J8" si="1">SUM(H4:H7)</f>
        <v>26</v>
      </c>
      <c r="I8" s="142">
        <f t="shared" si="1"/>
        <v>0</v>
      </c>
      <c r="J8" s="142">
        <f t="shared" si="1"/>
        <v>0</v>
      </c>
      <c r="K8" s="142">
        <f>+C8+E8+G8+I8</f>
        <v>308</v>
      </c>
      <c r="L8" s="143">
        <f t="shared" si="0"/>
        <v>230</v>
      </c>
    </row>
    <row r="9" spans="1:13" x14ac:dyDescent="0.25">
      <c r="A9" s="394" t="s">
        <v>613</v>
      </c>
      <c r="B9" s="119">
        <v>1</v>
      </c>
      <c r="C9" s="119">
        <v>173</v>
      </c>
      <c r="D9" s="119">
        <v>162</v>
      </c>
      <c r="E9" s="119">
        <v>1</v>
      </c>
      <c r="F9" s="119">
        <v>1</v>
      </c>
      <c r="G9" s="119">
        <v>86</v>
      </c>
      <c r="H9" s="119">
        <v>85</v>
      </c>
      <c r="I9" s="119">
        <v>0</v>
      </c>
      <c r="J9" s="119">
        <v>0</v>
      </c>
      <c r="K9" s="121">
        <f t="shared" si="0"/>
        <v>260</v>
      </c>
      <c r="L9" s="130">
        <f t="shared" si="0"/>
        <v>248</v>
      </c>
    </row>
    <row r="10" spans="1:13" x14ac:dyDescent="0.25">
      <c r="A10" s="392"/>
      <c r="B10" s="119">
        <v>2</v>
      </c>
      <c r="C10" s="119">
        <v>162</v>
      </c>
      <c r="D10" s="119">
        <v>147</v>
      </c>
      <c r="E10" s="119">
        <v>1</v>
      </c>
      <c r="F10" s="119">
        <v>1</v>
      </c>
      <c r="G10" s="119">
        <v>95</v>
      </c>
      <c r="H10" s="119">
        <v>94</v>
      </c>
      <c r="I10" s="119">
        <v>0</v>
      </c>
      <c r="J10" s="119">
        <v>0</v>
      </c>
      <c r="K10" s="121">
        <f t="shared" si="0"/>
        <v>258</v>
      </c>
      <c r="L10" s="130">
        <f t="shared" si="0"/>
        <v>242</v>
      </c>
    </row>
    <row r="11" spans="1:13" x14ac:dyDescent="0.25">
      <c r="A11" s="392"/>
      <c r="B11" s="119" t="s">
        <v>3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1">
        <f t="shared" si="0"/>
        <v>0</v>
      </c>
      <c r="L11" s="130">
        <f t="shared" si="0"/>
        <v>0</v>
      </c>
    </row>
    <row r="12" spans="1:13" x14ac:dyDescent="0.25">
      <c r="A12" s="393"/>
      <c r="B12" s="119">
        <v>3</v>
      </c>
      <c r="C12" s="119">
        <v>8</v>
      </c>
      <c r="D12" s="119">
        <v>7</v>
      </c>
      <c r="E12" s="119">
        <v>0</v>
      </c>
      <c r="F12" s="119">
        <v>0</v>
      </c>
      <c r="G12" s="119">
        <v>1</v>
      </c>
      <c r="H12" s="119">
        <v>1</v>
      </c>
      <c r="I12" s="119">
        <v>0</v>
      </c>
      <c r="J12" s="119">
        <v>0</v>
      </c>
      <c r="K12" s="121">
        <f t="shared" si="0"/>
        <v>9</v>
      </c>
      <c r="L12" s="130">
        <f t="shared" si="0"/>
        <v>8</v>
      </c>
    </row>
    <row r="13" spans="1:13" x14ac:dyDescent="0.25">
      <c r="A13" s="413" t="s">
        <v>588</v>
      </c>
      <c r="B13" s="414"/>
      <c r="C13" s="142">
        <f>SUM(C9:C12)</f>
        <v>343</v>
      </c>
      <c r="D13" s="142">
        <f>SUM(D9:D12)</f>
        <v>316</v>
      </c>
      <c r="E13" s="142">
        <f>SUM(E9:E12)</f>
        <v>2</v>
      </c>
      <c r="F13" s="142">
        <f>SUM(F9:F12)</f>
        <v>2</v>
      </c>
      <c r="G13" s="142">
        <f t="shared" ref="G13:J13" si="2">SUM(G9:G12)</f>
        <v>182</v>
      </c>
      <c r="H13" s="142">
        <f t="shared" si="2"/>
        <v>180</v>
      </c>
      <c r="I13" s="142">
        <f t="shared" si="2"/>
        <v>0</v>
      </c>
      <c r="J13" s="142">
        <f t="shared" si="2"/>
        <v>0</v>
      </c>
      <c r="K13" s="142">
        <f t="shared" si="0"/>
        <v>527</v>
      </c>
      <c r="L13" s="143">
        <f t="shared" si="0"/>
        <v>498</v>
      </c>
    </row>
    <row r="14" spans="1:13" x14ac:dyDescent="0.25">
      <c r="A14" s="397" t="s">
        <v>649</v>
      </c>
      <c r="B14" s="119">
        <v>1</v>
      </c>
      <c r="C14" s="119">
        <v>214</v>
      </c>
      <c r="D14" s="119">
        <v>195</v>
      </c>
      <c r="E14" s="119">
        <v>1</v>
      </c>
      <c r="F14" s="119">
        <v>1</v>
      </c>
      <c r="G14" s="119">
        <v>51</v>
      </c>
      <c r="H14" s="119">
        <v>38</v>
      </c>
      <c r="I14" s="119">
        <v>0</v>
      </c>
      <c r="J14" s="119">
        <v>0</v>
      </c>
      <c r="K14" s="121">
        <f t="shared" si="0"/>
        <v>266</v>
      </c>
      <c r="L14" s="130">
        <f t="shared" si="0"/>
        <v>234</v>
      </c>
    </row>
    <row r="15" spans="1:13" x14ac:dyDescent="0.25">
      <c r="A15" s="526"/>
      <c r="B15" s="119">
        <v>2</v>
      </c>
      <c r="C15" s="119">
        <v>84</v>
      </c>
      <c r="D15" s="119">
        <v>76</v>
      </c>
      <c r="E15" s="119">
        <v>0</v>
      </c>
      <c r="F15" s="119">
        <v>0</v>
      </c>
      <c r="G15" s="119">
        <v>93</v>
      </c>
      <c r="H15" s="119">
        <v>89</v>
      </c>
      <c r="I15" s="119">
        <v>9</v>
      </c>
      <c r="J15" s="119">
        <v>9</v>
      </c>
      <c r="K15" s="121">
        <f t="shared" si="0"/>
        <v>186</v>
      </c>
      <c r="L15" s="130">
        <f t="shared" si="0"/>
        <v>174</v>
      </c>
    </row>
    <row r="16" spans="1:13" x14ac:dyDescent="0.25">
      <c r="A16" s="526"/>
      <c r="B16" s="119" t="s">
        <v>3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21">
        <f t="shared" si="0"/>
        <v>0</v>
      </c>
      <c r="L16" s="130">
        <f t="shared" si="0"/>
        <v>0</v>
      </c>
    </row>
    <row r="17" spans="1:19" x14ac:dyDescent="0.25">
      <c r="A17" s="525"/>
      <c r="B17" s="119">
        <v>3</v>
      </c>
      <c r="C17" s="119">
        <v>6</v>
      </c>
      <c r="D17" s="119">
        <v>6</v>
      </c>
      <c r="E17" s="119">
        <v>0</v>
      </c>
      <c r="F17" s="119">
        <v>0</v>
      </c>
      <c r="G17" s="119">
        <v>10</v>
      </c>
      <c r="H17" s="119">
        <v>6</v>
      </c>
      <c r="I17" s="119">
        <v>1</v>
      </c>
      <c r="J17" s="119">
        <v>1</v>
      </c>
      <c r="K17" s="121">
        <f t="shared" si="0"/>
        <v>17</v>
      </c>
      <c r="L17" s="130">
        <f t="shared" si="0"/>
        <v>13</v>
      </c>
    </row>
    <row r="18" spans="1:19" x14ac:dyDescent="0.25">
      <c r="A18" s="413" t="s">
        <v>589</v>
      </c>
      <c r="B18" s="414"/>
      <c r="C18" s="142">
        <f>SUM(C14:C17)</f>
        <v>304</v>
      </c>
      <c r="D18" s="142">
        <f>SUM(D14:D17)</f>
        <v>277</v>
      </c>
      <c r="E18" s="142">
        <f>SUM(E14:E17)</f>
        <v>1</v>
      </c>
      <c r="F18" s="142">
        <f>SUM(F14:F17)</f>
        <v>1</v>
      </c>
      <c r="G18" s="142">
        <f t="shared" ref="G18:I18" si="3">SUM(G14:G17)</f>
        <v>154</v>
      </c>
      <c r="H18" s="142">
        <f t="shared" si="3"/>
        <v>133</v>
      </c>
      <c r="I18" s="142">
        <f t="shared" si="3"/>
        <v>10</v>
      </c>
      <c r="J18" s="142">
        <f>SUM(J14:J17)</f>
        <v>10</v>
      </c>
      <c r="K18" s="142">
        <f t="shared" si="0"/>
        <v>469</v>
      </c>
      <c r="L18" s="143">
        <f t="shared" si="0"/>
        <v>421</v>
      </c>
    </row>
    <row r="19" spans="1:19" x14ac:dyDescent="0.25">
      <c r="A19" s="527" t="s">
        <v>631</v>
      </c>
      <c r="B19" s="119">
        <v>1</v>
      </c>
      <c r="C19" s="119">
        <v>23</v>
      </c>
      <c r="D19" s="119">
        <v>12</v>
      </c>
      <c r="E19" s="119">
        <v>1</v>
      </c>
      <c r="F19" s="119">
        <v>0</v>
      </c>
      <c r="G19" s="119">
        <v>2</v>
      </c>
      <c r="H19" s="119">
        <v>2</v>
      </c>
      <c r="I19" s="119">
        <v>0</v>
      </c>
      <c r="J19" s="119">
        <v>0</v>
      </c>
      <c r="K19" s="121">
        <f t="shared" si="0"/>
        <v>26</v>
      </c>
      <c r="L19" s="130">
        <f t="shared" si="0"/>
        <v>14</v>
      </c>
    </row>
    <row r="20" spans="1:19" x14ac:dyDescent="0.25">
      <c r="A20" s="528"/>
      <c r="B20" s="119">
        <v>2</v>
      </c>
      <c r="C20" s="119">
        <v>26</v>
      </c>
      <c r="D20" s="119">
        <v>17</v>
      </c>
      <c r="E20" s="119">
        <v>0</v>
      </c>
      <c r="F20" s="119">
        <v>0</v>
      </c>
      <c r="G20" s="119">
        <v>27</v>
      </c>
      <c r="H20" s="119">
        <v>19</v>
      </c>
      <c r="I20" s="119">
        <v>0</v>
      </c>
      <c r="J20" s="119">
        <v>0</v>
      </c>
      <c r="K20" s="121">
        <f t="shared" si="0"/>
        <v>53</v>
      </c>
      <c r="L20" s="130">
        <f t="shared" si="0"/>
        <v>36</v>
      </c>
    </row>
    <row r="21" spans="1:19" x14ac:dyDescent="0.25">
      <c r="A21" s="528"/>
      <c r="B21" s="119" t="s">
        <v>3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21">
        <f t="shared" si="0"/>
        <v>0</v>
      </c>
      <c r="L21" s="130">
        <f t="shared" si="0"/>
        <v>0</v>
      </c>
    </row>
    <row r="22" spans="1:19" x14ac:dyDescent="0.25">
      <c r="A22" s="529"/>
      <c r="B22" s="119">
        <v>3</v>
      </c>
      <c r="C22" s="119">
        <v>2</v>
      </c>
      <c r="D22" s="119">
        <v>0</v>
      </c>
      <c r="E22" s="119">
        <v>0</v>
      </c>
      <c r="F22" s="119">
        <v>0</v>
      </c>
      <c r="G22" s="119">
        <v>1</v>
      </c>
      <c r="H22" s="119">
        <v>0</v>
      </c>
      <c r="I22" s="119">
        <v>0</v>
      </c>
      <c r="J22" s="119">
        <v>0</v>
      </c>
      <c r="K22" s="121">
        <f t="shared" si="0"/>
        <v>3</v>
      </c>
      <c r="L22" s="130">
        <f t="shared" si="0"/>
        <v>0</v>
      </c>
    </row>
    <row r="23" spans="1:19" x14ac:dyDescent="0.25">
      <c r="A23" s="413" t="s">
        <v>590</v>
      </c>
      <c r="B23" s="414"/>
      <c r="C23" s="142">
        <f>SUM(C19:C22)</f>
        <v>51</v>
      </c>
      <c r="D23" s="142">
        <f>SUM(D19:D22)</f>
        <v>29</v>
      </c>
      <c r="E23" s="142">
        <f>SUM(E19:E22)</f>
        <v>1</v>
      </c>
      <c r="F23" s="142">
        <f>SUM(F19:F22)</f>
        <v>0</v>
      </c>
      <c r="G23" s="142">
        <f t="shared" ref="G23:J23" si="4">SUM(G19:G22)</f>
        <v>30</v>
      </c>
      <c r="H23" s="142">
        <f t="shared" si="4"/>
        <v>21</v>
      </c>
      <c r="I23" s="142">
        <f t="shared" si="4"/>
        <v>0</v>
      </c>
      <c r="J23" s="142">
        <f t="shared" si="4"/>
        <v>0</v>
      </c>
      <c r="K23" s="142">
        <f t="shared" si="0"/>
        <v>82</v>
      </c>
      <c r="L23" s="143">
        <f t="shared" si="0"/>
        <v>50</v>
      </c>
    </row>
    <row r="24" spans="1:19" x14ac:dyDescent="0.25">
      <c r="A24" s="399" t="s">
        <v>630</v>
      </c>
      <c r="B24" s="119">
        <v>1</v>
      </c>
      <c r="C24" s="119">
        <v>117</v>
      </c>
      <c r="D24" s="119">
        <v>78</v>
      </c>
      <c r="E24" s="119">
        <v>1</v>
      </c>
      <c r="F24" s="119">
        <v>0</v>
      </c>
      <c r="G24" s="119">
        <v>36</v>
      </c>
      <c r="H24" s="119">
        <v>22</v>
      </c>
      <c r="I24" s="119">
        <v>0</v>
      </c>
      <c r="J24" s="119">
        <v>0</v>
      </c>
      <c r="K24" s="121">
        <f t="shared" si="0"/>
        <v>154</v>
      </c>
      <c r="L24" s="130">
        <f t="shared" si="0"/>
        <v>100</v>
      </c>
    </row>
    <row r="25" spans="1:19" x14ac:dyDescent="0.25">
      <c r="A25" s="395"/>
      <c r="B25" s="119">
        <v>2</v>
      </c>
      <c r="C25" s="119">
        <v>165</v>
      </c>
      <c r="D25" s="119">
        <v>92</v>
      </c>
      <c r="E25" s="119">
        <v>0</v>
      </c>
      <c r="F25" s="119">
        <v>0</v>
      </c>
      <c r="G25" s="119">
        <v>65</v>
      </c>
      <c r="H25" s="119">
        <v>31</v>
      </c>
      <c r="I25" s="119">
        <v>0</v>
      </c>
      <c r="J25" s="119">
        <v>0</v>
      </c>
      <c r="K25" s="121">
        <f t="shared" si="0"/>
        <v>230</v>
      </c>
      <c r="L25" s="130">
        <f t="shared" si="0"/>
        <v>123</v>
      </c>
    </row>
    <row r="26" spans="1:19" x14ac:dyDescent="0.25">
      <c r="A26" s="395"/>
      <c r="B26" s="119" t="s">
        <v>3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21">
        <f t="shared" si="0"/>
        <v>0</v>
      </c>
      <c r="L26" s="130">
        <f t="shared" si="0"/>
        <v>0</v>
      </c>
    </row>
    <row r="27" spans="1:19" x14ac:dyDescent="0.25">
      <c r="A27" s="396"/>
      <c r="B27" s="119">
        <v>3</v>
      </c>
      <c r="C27" s="119">
        <v>2</v>
      </c>
      <c r="D27" s="119">
        <v>1</v>
      </c>
      <c r="E27" s="119">
        <v>0</v>
      </c>
      <c r="F27" s="119">
        <v>0</v>
      </c>
      <c r="G27" s="119">
        <v>18</v>
      </c>
      <c r="H27" s="119">
        <v>9</v>
      </c>
      <c r="I27" s="119">
        <v>0</v>
      </c>
      <c r="J27" s="119">
        <v>0</v>
      </c>
      <c r="K27" s="121">
        <f t="shared" si="0"/>
        <v>20</v>
      </c>
      <c r="L27" s="130">
        <f t="shared" si="0"/>
        <v>10</v>
      </c>
    </row>
    <row r="28" spans="1:19" ht="16.5" thickBot="1" x14ac:dyDescent="0.3">
      <c r="A28" s="413" t="s">
        <v>591</v>
      </c>
      <c r="B28" s="414"/>
      <c r="C28" s="142">
        <f>SUM(C24:C27)</f>
        <v>284</v>
      </c>
      <c r="D28" s="142">
        <f>SUM(D24:D27)</f>
        <v>171</v>
      </c>
      <c r="E28" s="142">
        <f>SUM(E24:E27)</f>
        <v>1</v>
      </c>
      <c r="F28" s="142">
        <f>SUM(F24:F27)</f>
        <v>0</v>
      </c>
      <c r="G28" s="142">
        <f t="shared" ref="G28:J28" si="5">SUM(G24:G27)</f>
        <v>119</v>
      </c>
      <c r="H28" s="142">
        <f t="shared" si="5"/>
        <v>62</v>
      </c>
      <c r="I28" s="142">
        <f t="shared" si="5"/>
        <v>0</v>
      </c>
      <c r="J28" s="142">
        <f t="shared" si="5"/>
        <v>0</v>
      </c>
      <c r="K28" s="142">
        <f t="shared" si="0"/>
        <v>404</v>
      </c>
      <c r="L28" s="143">
        <f t="shared" si="0"/>
        <v>233</v>
      </c>
    </row>
    <row r="29" spans="1:19" ht="16.5" hidden="1" thickBot="1" x14ac:dyDescent="0.3">
      <c r="A29" s="118" t="s">
        <v>122</v>
      </c>
      <c r="B29" s="119">
        <v>1</v>
      </c>
      <c r="C29" s="119"/>
      <c r="D29" s="119"/>
      <c r="E29" s="119"/>
      <c r="F29" s="119"/>
      <c r="G29" s="119"/>
      <c r="H29" s="119"/>
      <c r="I29" s="119"/>
      <c r="J29" s="119"/>
      <c r="K29" s="121">
        <f t="shared" si="0"/>
        <v>0</v>
      </c>
      <c r="L29" s="130">
        <f t="shared" si="0"/>
        <v>0</v>
      </c>
    </row>
    <row r="30" spans="1:19" ht="16.5" hidden="1" thickBot="1" x14ac:dyDescent="0.3">
      <c r="A30" s="118"/>
      <c r="B30" s="119">
        <v>2</v>
      </c>
      <c r="C30" s="119"/>
      <c r="D30" s="119"/>
      <c r="E30" s="119"/>
      <c r="F30" s="119"/>
      <c r="G30" s="119"/>
      <c r="H30" s="119"/>
      <c r="I30" s="119"/>
      <c r="J30" s="119"/>
      <c r="K30" s="121">
        <f t="shared" si="0"/>
        <v>0</v>
      </c>
      <c r="L30" s="130">
        <f t="shared" si="0"/>
        <v>0</v>
      </c>
    </row>
    <row r="31" spans="1:19" ht="16.5" hidden="1" thickBot="1" x14ac:dyDescent="0.3">
      <c r="A31" s="118"/>
      <c r="B31" s="119" t="s">
        <v>3</v>
      </c>
      <c r="C31" s="119"/>
      <c r="D31" s="119"/>
      <c r="E31" s="119"/>
      <c r="F31" s="119"/>
      <c r="G31" s="119"/>
      <c r="H31" s="119"/>
      <c r="I31" s="119"/>
      <c r="J31" s="119"/>
      <c r="K31" s="121">
        <f t="shared" si="0"/>
        <v>0</v>
      </c>
      <c r="L31" s="130">
        <f t="shared" si="0"/>
        <v>0</v>
      </c>
      <c r="S31" t="s">
        <v>592</v>
      </c>
    </row>
    <row r="32" spans="1:19" ht="16.5" hidden="1" thickBot="1" x14ac:dyDescent="0.3">
      <c r="A32" s="118"/>
      <c r="B32" s="119">
        <v>3</v>
      </c>
      <c r="C32" s="119"/>
      <c r="D32" s="119"/>
      <c r="E32" s="119"/>
      <c r="F32" s="119"/>
      <c r="G32" s="119"/>
      <c r="H32" s="119"/>
      <c r="I32" s="119"/>
      <c r="J32" s="119"/>
      <c r="K32" s="121">
        <f t="shared" si="0"/>
        <v>0</v>
      </c>
      <c r="L32" s="130">
        <f t="shared" si="0"/>
        <v>0</v>
      </c>
    </row>
    <row r="33" spans="1:12" ht="16.5" hidden="1" thickBot="1" x14ac:dyDescent="0.3">
      <c r="A33" s="427" t="s">
        <v>125</v>
      </c>
      <c r="B33" s="428"/>
      <c r="C33" s="128">
        <f t="shared" ref="C33:J33" si="6">SUM(C29:C32)</f>
        <v>0</v>
      </c>
      <c r="D33" s="128">
        <f t="shared" si="6"/>
        <v>0</v>
      </c>
      <c r="E33" s="128">
        <f t="shared" si="6"/>
        <v>0</v>
      </c>
      <c r="F33" s="128">
        <f t="shared" si="6"/>
        <v>0</v>
      </c>
      <c r="G33" s="128">
        <f t="shared" si="6"/>
        <v>0</v>
      </c>
      <c r="H33" s="128">
        <f t="shared" si="6"/>
        <v>0</v>
      </c>
      <c r="I33" s="128">
        <f t="shared" si="6"/>
        <v>0</v>
      </c>
      <c r="J33" s="128">
        <f t="shared" si="6"/>
        <v>0</v>
      </c>
      <c r="K33" s="128">
        <f t="shared" si="0"/>
        <v>0</v>
      </c>
      <c r="L33" s="131">
        <f t="shared" si="0"/>
        <v>0</v>
      </c>
    </row>
    <row r="34" spans="1:12" x14ac:dyDescent="0.25">
      <c r="A34" s="429" t="s">
        <v>126</v>
      </c>
      <c r="B34" s="120">
        <v>1</v>
      </c>
      <c r="C34" s="120">
        <f>+C4+C9+C14+C19+C24+C29</f>
        <v>656</v>
      </c>
      <c r="D34" s="120">
        <f t="shared" ref="C34:J38" si="7">+D4+D9+D14+D19+D24+D29</f>
        <v>547</v>
      </c>
      <c r="E34" s="120">
        <f t="shared" si="7"/>
        <v>4</v>
      </c>
      <c r="F34" s="120">
        <f t="shared" si="7"/>
        <v>2</v>
      </c>
      <c r="G34" s="120">
        <f t="shared" si="7"/>
        <v>208</v>
      </c>
      <c r="H34" s="120">
        <f t="shared" si="7"/>
        <v>172</v>
      </c>
      <c r="I34" s="120">
        <f t="shared" si="7"/>
        <v>0</v>
      </c>
      <c r="J34" s="120">
        <f>+J4+J9+J14+J19+J24+J29</f>
        <v>0</v>
      </c>
      <c r="K34" s="120">
        <f>+C34+E34+G34+I34</f>
        <v>868</v>
      </c>
      <c r="L34" s="132">
        <f t="shared" si="0"/>
        <v>721</v>
      </c>
    </row>
    <row r="35" spans="1:12" x14ac:dyDescent="0.25">
      <c r="A35" s="398"/>
      <c r="B35" s="121">
        <v>2</v>
      </c>
      <c r="C35" s="121">
        <f t="shared" si="7"/>
        <v>568</v>
      </c>
      <c r="D35" s="121">
        <f t="shared" si="7"/>
        <v>430</v>
      </c>
      <c r="E35" s="121">
        <f t="shared" si="7"/>
        <v>1</v>
      </c>
      <c r="F35" s="121">
        <f t="shared" si="7"/>
        <v>1</v>
      </c>
      <c r="G35" s="121">
        <f t="shared" si="7"/>
        <v>280</v>
      </c>
      <c r="H35" s="121">
        <f t="shared" si="7"/>
        <v>233</v>
      </c>
      <c r="I35" s="121">
        <f t="shared" si="7"/>
        <v>9</v>
      </c>
      <c r="J35" s="121">
        <f t="shared" si="7"/>
        <v>9</v>
      </c>
      <c r="K35" s="121">
        <f t="shared" si="0"/>
        <v>858</v>
      </c>
      <c r="L35" s="130">
        <f t="shared" si="0"/>
        <v>673</v>
      </c>
    </row>
    <row r="36" spans="1:12" x14ac:dyDescent="0.25">
      <c r="A36" s="398"/>
      <c r="B36" s="121" t="s">
        <v>3</v>
      </c>
      <c r="C36" s="121">
        <f t="shared" si="7"/>
        <v>0</v>
      </c>
      <c r="D36" s="121">
        <f t="shared" si="7"/>
        <v>0</v>
      </c>
      <c r="E36" s="121">
        <f t="shared" si="7"/>
        <v>0</v>
      </c>
      <c r="F36" s="121">
        <f t="shared" si="7"/>
        <v>0</v>
      </c>
      <c r="G36" s="121">
        <f t="shared" si="7"/>
        <v>0</v>
      </c>
      <c r="H36" s="121">
        <f t="shared" si="7"/>
        <v>0</v>
      </c>
      <c r="I36" s="121">
        <f t="shared" si="7"/>
        <v>0</v>
      </c>
      <c r="J36" s="121">
        <f t="shared" si="7"/>
        <v>0</v>
      </c>
      <c r="K36" s="121">
        <f t="shared" si="0"/>
        <v>0</v>
      </c>
      <c r="L36" s="130">
        <f t="shared" si="0"/>
        <v>0</v>
      </c>
    </row>
    <row r="37" spans="1:12" ht="16.5" thickBot="1" x14ac:dyDescent="0.3">
      <c r="A37" s="430"/>
      <c r="B37" s="128">
        <v>3</v>
      </c>
      <c r="C37" s="128">
        <f t="shared" si="7"/>
        <v>28</v>
      </c>
      <c r="D37" s="128">
        <f t="shared" si="7"/>
        <v>19</v>
      </c>
      <c r="E37" s="128">
        <f t="shared" si="7"/>
        <v>1</v>
      </c>
      <c r="F37" s="128">
        <f>+F7+F12+F17+F22+F27+F32</f>
        <v>1</v>
      </c>
      <c r="G37" s="128">
        <f t="shared" si="7"/>
        <v>34</v>
      </c>
      <c r="H37" s="128">
        <f t="shared" si="7"/>
        <v>17</v>
      </c>
      <c r="I37" s="128">
        <f t="shared" si="7"/>
        <v>1</v>
      </c>
      <c r="J37" s="128">
        <f>+J7+J12+J17+J22+J27+J32</f>
        <v>1</v>
      </c>
      <c r="K37" s="128">
        <f t="shared" si="0"/>
        <v>64</v>
      </c>
      <c r="L37" s="131">
        <f t="shared" si="0"/>
        <v>38</v>
      </c>
    </row>
    <row r="38" spans="1:12" ht="16.5" thickBot="1" x14ac:dyDescent="0.3">
      <c r="A38" s="408" t="s">
        <v>651</v>
      </c>
      <c r="B38" s="409"/>
      <c r="C38" s="144">
        <f>+C8+C13+C18+C23+C28+C33</f>
        <v>1252</v>
      </c>
      <c r="D38" s="144">
        <f t="shared" si="7"/>
        <v>996</v>
      </c>
      <c r="E38" s="144">
        <f t="shared" si="7"/>
        <v>6</v>
      </c>
      <c r="F38" s="144">
        <f t="shared" si="7"/>
        <v>4</v>
      </c>
      <c r="G38" s="144">
        <f t="shared" si="7"/>
        <v>522</v>
      </c>
      <c r="H38" s="144">
        <f t="shared" si="7"/>
        <v>422</v>
      </c>
      <c r="I38" s="144">
        <f t="shared" si="7"/>
        <v>10</v>
      </c>
      <c r="J38" s="144">
        <f t="shared" si="7"/>
        <v>10</v>
      </c>
      <c r="K38" s="144">
        <f t="shared" si="0"/>
        <v>1790</v>
      </c>
      <c r="L38" s="145">
        <f t="shared" si="0"/>
        <v>1432</v>
      </c>
    </row>
    <row r="39" spans="1:12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2" x14ac:dyDescent="0.25">
      <c r="A40" s="87" t="s">
        <v>35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</row>
  </sheetData>
  <mergeCells count="19">
    <mergeCell ref="A4:A7"/>
    <mergeCell ref="A9:A12"/>
    <mergeCell ref="A19:A22"/>
    <mergeCell ref="A24:A27"/>
    <mergeCell ref="A14:A17"/>
    <mergeCell ref="A38:B38"/>
    <mergeCell ref="A8:B8"/>
    <mergeCell ref="A13:B13"/>
    <mergeCell ref="A18:B18"/>
    <mergeCell ref="A23:B23"/>
    <mergeCell ref="A28:B28"/>
    <mergeCell ref="A33:B33"/>
    <mergeCell ref="A34:A37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C13" sqref="C13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33" customHeight="1" x14ac:dyDescent="0.25">
      <c r="A1" s="435" t="s">
        <v>206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1" ht="16.5" thickBot="1" x14ac:dyDescent="0.3">
      <c r="A2" s="431" t="s">
        <v>32</v>
      </c>
      <c r="B2" s="431"/>
      <c r="C2" s="431"/>
      <c r="D2" s="431"/>
      <c r="E2" s="431"/>
      <c r="F2" s="431"/>
      <c r="G2" s="431"/>
      <c r="H2" s="431"/>
      <c r="I2" s="431"/>
      <c r="J2" s="431"/>
      <c r="K2" s="73"/>
    </row>
    <row r="3" spans="1:11" ht="26.25" thickBot="1" x14ac:dyDescent="0.3">
      <c r="A3" s="154" t="s">
        <v>46</v>
      </c>
      <c r="B3" s="146" t="s">
        <v>37</v>
      </c>
      <c r="C3" s="146" t="s">
        <v>38</v>
      </c>
      <c r="D3" s="147" t="s">
        <v>39</v>
      </c>
      <c r="E3" s="147" t="s">
        <v>40</v>
      </c>
      <c r="F3" s="147" t="s">
        <v>41</v>
      </c>
      <c r="G3" s="148" t="s">
        <v>42</v>
      </c>
      <c r="H3" s="148" t="s">
        <v>43</v>
      </c>
      <c r="I3" s="148" t="s">
        <v>44</v>
      </c>
      <c r="J3" s="149" t="s">
        <v>45</v>
      </c>
    </row>
    <row r="4" spans="1:11" ht="25.5" x14ac:dyDescent="0.25">
      <c r="A4" s="109" t="s">
        <v>19</v>
      </c>
      <c r="B4" s="107">
        <f>SUM(242)</f>
        <v>242</v>
      </c>
      <c r="C4" s="107">
        <v>1121</v>
      </c>
      <c r="D4" s="107">
        <v>1121</v>
      </c>
      <c r="E4" s="107">
        <v>826</v>
      </c>
      <c r="F4" s="107">
        <v>491</v>
      </c>
      <c r="G4" s="530">
        <f>IFERROR(C4/B4,0)</f>
        <v>4.6322314049586772</v>
      </c>
      <c r="H4" s="530">
        <f>IFERROR(E4/D4,0)</f>
        <v>0.73684210526315785</v>
      </c>
      <c r="I4" s="530">
        <f>IFERROR(F4/E4,0)</f>
        <v>0.59443099273607747</v>
      </c>
      <c r="J4" s="530">
        <f>IFERROR(F4/B4,0)</f>
        <v>2.0289256198347108</v>
      </c>
    </row>
    <row r="5" spans="1:11" x14ac:dyDescent="0.25">
      <c r="A5" s="79" t="s">
        <v>20</v>
      </c>
      <c r="B5" s="58">
        <f>SUM(100+50)</f>
        <v>150</v>
      </c>
      <c r="C5" s="58">
        <f>SUM(161+26)</f>
        <v>187</v>
      </c>
      <c r="D5" s="58">
        <f>SUM(126+26)</f>
        <v>152</v>
      </c>
      <c r="E5" s="58">
        <f>SUM(122+25)</f>
        <v>147</v>
      </c>
      <c r="F5" s="58">
        <f>SUM(49+20)</f>
        <v>69</v>
      </c>
      <c r="G5" s="531">
        <f>IFERROR(C5/B5,0)</f>
        <v>1.2466666666666666</v>
      </c>
      <c r="H5" s="531">
        <f t="shared" ref="H5:I8" si="0">IFERROR(E5/D5,0)</f>
        <v>0.96710526315789469</v>
      </c>
      <c r="I5" s="531">
        <f t="shared" si="0"/>
        <v>0.46938775510204084</v>
      </c>
      <c r="J5" s="531">
        <f t="shared" ref="J5:J8" si="1">IFERROR(F5/B5,0)</f>
        <v>0.46</v>
      </c>
    </row>
    <row r="6" spans="1:11" x14ac:dyDescent="0.25">
      <c r="A6" s="79" t="s">
        <v>21</v>
      </c>
      <c r="B6" s="58">
        <f>SUM(100+20+60)</f>
        <v>180</v>
      </c>
      <c r="C6" s="58">
        <f>SUM(314+7+37)</f>
        <v>358</v>
      </c>
      <c r="D6" s="58">
        <f>SUM(259+7+37)</f>
        <v>303</v>
      </c>
      <c r="E6" s="58">
        <f>SUM(145+7+31)</f>
        <v>183</v>
      </c>
      <c r="F6" s="58">
        <f>SUM(81+2+17)</f>
        <v>100</v>
      </c>
      <c r="G6" s="531">
        <f t="shared" ref="G6:G9" si="2">IFERROR(C6/B6,0)</f>
        <v>1.9888888888888889</v>
      </c>
      <c r="H6" s="531">
        <f t="shared" si="0"/>
        <v>0.60396039603960394</v>
      </c>
      <c r="I6" s="531">
        <f t="shared" si="0"/>
        <v>0.54644808743169404</v>
      </c>
      <c r="J6" s="531">
        <f t="shared" si="1"/>
        <v>0.55555555555555558</v>
      </c>
    </row>
    <row r="7" spans="1:11" x14ac:dyDescent="0.25">
      <c r="A7" s="79" t="s">
        <v>22</v>
      </c>
      <c r="B7" s="58">
        <v>150</v>
      </c>
      <c r="C7" s="58">
        <v>377</v>
      </c>
      <c r="D7" s="58">
        <v>332</v>
      </c>
      <c r="E7" s="58">
        <v>332</v>
      </c>
      <c r="F7" s="58">
        <v>170</v>
      </c>
      <c r="G7" s="531">
        <f t="shared" si="2"/>
        <v>2.5133333333333332</v>
      </c>
      <c r="H7" s="531">
        <f t="shared" si="0"/>
        <v>1</v>
      </c>
      <c r="I7" s="531">
        <f t="shared" si="0"/>
        <v>0.51204819277108438</v>
      </c>
      <c r="J7" s="531">
        <f t="shared" si="1"/>
        <v>1.1333333333333333</v>
      </c>
    </row>
    <row r="8" spans="1:11" x14ac:dyDescent="0.25">
      <c r="A8" s="79" t="s">
        <v>24</v>
      </c>
      <c r="B8" s="58">
        <v>600</v>
      </c>
      <c r="C8" s="58">
        <v>542</v>
      </c>
      <c r="D8" s="58">
        <v>542</v>
      </c>
      <c r="E8" s="58">
        <v>410</v>
      </c>
      <c r="F8" s="58">
        <v>216</v>
      </c>
      <c r="G8" s="531">
        <f t="shared" si="2"/>
        <v>0.90333333333333332</v>
      </c>
      <c r="H8" s="531">
        <f t="shared" si="0"/>
        <v>0.75645756457564572</v>
      </c>
      <c r="I8" s="531">
        <f t="shared" si="0"/>
        <v>0.52682926829268295</v>
      </c>
      <c r="J8" s="531">
        <f t="shared" si="1"/>
        <v>0.36</v>
      </c>
    </row>
    <row r="9" spans="1:11" x14ac:dyDescent="0.25">
      <c r="A9" s="158" t="s">
        <v>34</v>
      </c>
      <c r="B9" s="366">
        <f>+SUM(B4:B8)</f>
        <v>1322</v>
      </c>
      <c r="C9" s="366">
        <f>+SUM(C4:C8)</f>
        <v>2585</v>
      </c>
      <c r="D9" s="366">
        <f>+SUM(D4:D8)</f>
        <v>2450</v>
      </c>
      <c r="E9" s="366">
        <f>+SUM(E4:E8)</f>
        <v>1898</v>
      </c>
      <c r="F9" s="366">
        <f>+SUM(F4:F8)</f>
        <v>1046</v>
      </c>
      <c r="G9" s="532">
        <f t="shared" si="2"/>
        <v>1.9553706505295008</v>
      </c>
      <c r="H9" s="532">
        <f t="shared" ref="H9:I9" si="3">IFERROR(E9/D9,0)</f>
        <v>0.77469387755102037</v>
      </c>
      <c r="I9" s="532">
        <f t="shared" si="3"/>
        <v>0.55110642781875663</v>
      </c>
      <c r="J9" s="532">
        <f>IFERROR(F9/B9,0)</f>
        <v>0.79122541603630858</v>
      </c>
    </row>
    <row r="10" spans="1:11" x14ac:dyDescent="0.25">
      <c r="A10" s="155"/>
      <c r="B10" s="155"/>
      <c r="C10" s="155"/>
      <c r="D10" s="155"/>
      <c r="E10" s="155"/>
      <c r="F10" s="155"/>
      <c r="G10" s="155"/>
      <c r="H10" s="155"/>
      <c r="I10" s="156"/>
      <c r="J10" s="155"/>
    </row>
    <row r="11" spans="1:11" ht="16.5" thickBot="1" x14ac:dyDescent="0.3">
      <c r="A11" s="432" t="s">
        <v>33</v>
      </c>
      <c r="B11" s="433"/>
      <c r="C11" s="433"/>
      <c r="D11" s="433"/>
      <c r="E11" s="433"/>
      <c r="F11" s="433"/>
      <c r="G11" s="433"/>
      <c r="H11" s="433"/>
      <c r="I11" s="433"/>
      <c r="J11" s="434"/>
    </row>
    <row r="12" spans="1:11" ht="26.25" thickBot="1" x14ac:dyDescent="0.3">
      <c r="A12" s="154" t="s">
        <v>46</v>
      </c>
      <c r="B12" s="146" t="s">
        <v>37</v>
      </c>
      <c r="C12" s="146" t="s">
        <v>38</v>
      </c>
      <c r="D12" s="147" t="s">
        <v>39</v>
      </c>
      <c r="E12" s="147" t="s">
        <v>40</v>
      </c>
      <c r="F12" s="147" t="s">
        <v>41</v>
      </c>
      <c r="G12" s="148" t="s">
        <v>42</v>
      </c>
      <c r="H12" s="148" t="s">
        <v>43</v>
      </c>
      <c r="I12" s="148" t="s">
        <v>44</v>
      </c>
      <c r="J12" s="149" t="s">
        <v>45</v>
      </c>
    </row>
    <row r="13" spans="1:11" ht="25.5" x14ac:dyDescent="0.25">
      <c r="A13" s="109" t="s">
        <v>19</v>
      </c>
      <c r="B13" s="107">
        <v>180</v>
      </c>
      <c r="C13" s="107">
        <v>371</v>
      </c>
      <c r="D13" s="107">
        <v>371</v>
      </c>
      <c r="E13" s="107">
        <v>360</v>
      </c>
      <c r="F13" s="107">
        <v>288</v>
      </c>
      <c r="G13" s="530">
        <f>IFERROR(C13/B13,0)</f>
        <v>2.0611111111111109</v>
      </c>
      <c r="H13" s="530">
        <f>IFERROR(E13/D13,0)</f>
        <v>0.9703504043126685</v>
      </c>
      <c r="I13" s="530">
        <f>IFERROR(F13/E13,0)</f>
        <v>0.8</v>
      </c>
      <c r="J13" s="530">
        <f>IFERROR(F13/B13,0)</f>
        <v>1.6</v>
      </c>
    </row>
    <row r="14" spans="1:11" x14ac:dyDescent="0.25">
      <c r="A14" s="79" t="s">
        <v>20</v>
      </c>
      <c r="B14" s="58">
        <f>SUM(50+20)</f>
        <v>70</v>
      </c>
      <c r="C14" s="58">
        <f>SUM(28+6)</f>
        <v>34</v>
      </c>
      <c r="D14" s="58">
        <f>SUM(28+6)</f>
        <v>34</v>
      </c>
      <c r="E14" s="58">
        <f>SUM(28+6)</f>
        <v>34</v>
      </c>
      <c r="F14" s="58">
        <f>SUM(20+6)</f>
        <v>26</v>
      </c>
      <c r="G14" s="531">
        <f t="shared" ref="G14:G16" si="4">IFERROR(C14/B14,0)</f>
        <v>0.48571428571428571</v>
      </c>
      <c r="H14" s="531">
        <f t="shared" ref="H14:I16" si="5">IFERROR(E14/D14,0)</f>
        <v>1</v>
      </c>
      <c r="I14" s="531">
        <f t="shared" si="5"/>
        <v>0.76470588235294112</v>
      </c>
      <c r="J14" s="531">
        <f t="shared" ref="J14:J16" si="6">IFERROR(F14/B14,0)</f>
        <v>0.37142857142857144</v>
      </c>
    </row>
    <row r="15" spans="1:11" x14ac:dyDescent="0.25">
      <c r="A15" s="79" t="s">
        <v>21</v>
      </c>
      <c r="B15" s="58">
        <f>SUM(50+20+50)</f>
        <v>120</v>
      </c>
      <c r="C15" s="58">
        <f>SUM(161+5+17)</f>
        <v>183</v>
      </c>
      <c r="D15" s="58">
        <f>SUM(115+5+17)</f>
        <v>137</v>
      </c>
      <c r="E15" s="58">
        <f>SUM(73+5+17)</f>
        <v>95</v>
      </c>
      <c r="F15" s="58">
        <f>SUM(54+4+9)</f>
        <v>67</v>
      </c>
      <c r="G15" s="531">
        <f t="shared" si="4"/>
        <v>1.5249999999999999</v>
      </c>
      <c r="H15" s="531">
        <f t="shared" si="5"/>
        <v>0.69343065693430661</v>
      </c>
      <c r="I15" s="531">
        <f t="shared" si="5"/>
        <v>0.70526315789473681</v>
      </c>
      <c r="J15" s="531">
        <f t="shared" si="6"/>
        <v>0.55833333333333335</v>
      </c>
    </row>
    <row r="16" spans="1:11" ht="18" customHeight="1" x14ac:dyDescent="0.25">
      <c r="A16" s="79" t="s">
        <v>22</v>
      </c>
      <c r="B16" s="58">
        <v>100</v>
      </c>
      <c r="C16" s="58">
        <v>115</v>
      </c>
      <c r="D16" s="58">
        <v>93</v>
      </c>
      <c r="E16" s="58">
        <v>93</v>
      </c>
      <c r="F16" s="58">
        <v>63</v>
      </c>
      <c r="G16" s="531">
        <f t="shared" si="4"/>
        <v>1.1499999999999999</v>
      </c>
      <c r="H16" s="531">
        <f t="shared" si="5"/>
        <v>1</v>
      </c>
      <c r="I16" s="531">
        <f t="shared" si="5"/>
        <v>0.67741935483870963</v>
      </c>
      <c r="J16" s="531">
        <f t="shared" si="6"/>
        <v>0.63</v>
      </c>
    </row>
    <row r="17" spans="1:10" ht="19.5" customHeight="1" x14ac:dyDescent="0.25">
      <c r="A17" s="79" t="s">
        <v>24</v>
      </c>
      <c r="B17" s="58">
        <v>25</v>
      </c>
      <c r="C17" s="58">
        <v>17</v>
      </c>
      <c r="D17" s="58">
        <v>17</v>
      </c>
      <c r="E17" s="58">
        <v>17</v>
      </c>
      <c r="F17" s="58">
        <v>16</v>
      </c>
      <c r="G17" s="531">
        <f t="shared" ref="G17:G18" si="7">IFERROR(C17/B17,0)</f>
        <v>0.68</v>
      </c>
      <c r="H17" s="531">
        <f t="shared" ref="H17:I18" si="8">IFERROR(E17/D17,0)</f>
        <v>1</v>
      </c>
      <c r="I17" s="531">
        <f t="shared" si="8"/>
        <v>0.94117647058823528</v>
      </c>
      <c r="J17" s="531">
        <f t="shared" ref="J17:J18" si="9">IFERROR(F17/B17,0)</f>
        <v>0.64</v>
      </c>
    </row>
    <row r="18" spans="1:10" ht="17.25" customHeight="1" x14ac:dyDescent="0.25">
      <c r="A18" s="158" t="s">
        <v>34</v>
      </c>
      <c r="B18" s="366">
        <f>+SUM(B13:B17)</f>
        <v>495</v>
      </c>
      <c r="C18" s="366">
        <f>+SUM(C13:C17)</f>
        <v>720</v>
      </c>
      <c r="D18" s="366">
        <f>+SUM(D13:D17)</f>
        <v>652</v>
      </c>
      <c r="E18" s="366">
        <f>+SUM(E13:E17)</f>
        <v>599</v>
      </c>
      <c r="F18" s="366">
        <f>+SUM(F13:F17)</f>
        <v>460</v>
      </c>
      <c r="G18" s="532">
        <f t="shared" si="7"/>
        <v>1.4545454545454546</v>
      </c>
      <c r="H18" s="532">
        <f t="shared" si="8"/>
        <v>0.91871165644171782</v>
      </c>
      <c r="I18" s="532">
        <f t="shared" si="8"/>
        <v>0.76794657762938234</v>
      </c>
      <c r="J18" s="532">
        <f t="shared" si="9"/>
        <v>0.92929292929292928</v>
      </c>
    </row>
    <row r="19" spans="1:10" x14ac:dyDescent="0.25">
      <c r="A19" s="438"/>
      <c r="B19" s="439"/>
      <c r="C19" s="439"/>
      <c r="D19" s="439"/>
      <c r="E19" s="439"/>
      <c r="F19" s="439"/>
      <c r="G19" s="439"/>
      <c r="H19" s="439"/>
      <c r="I19" s="439"/>
      <c r="J19" s="440"/>
    </row>
    <row r="20" spans="1:10" ht="16.5" thickBot="1" x14ac:dyDescent="0.3">
      <c r="A20" s="436" t="s">
        <v>95</v>
      </c>
      <c r="B20" s="437"/>
      <c r="C20" s="437"/>
      <c r="D20" s="437"/>
      <c r="E20" s="437"/>
      <c r="F20" s="437"/>
      <c r="G20" s="437"/>
      <c r="H20" s="437"/>
      <c r="I20" s="437"/>
      <c r="J20" s="437"/>
    </row>
    <row r="21" spans="1:10" ht="55.5" customHeight="1" thickBot="1" x14ac:dyDescent="0.3">
      <c r="A21" s="157" t="s">
        <v>46</v>
      </c>
      <c r="B21" s="151" t="s">
        <v>38</v>
      </c>
      <c r="C21" s="135" t="s">
        <v>39</v>
      </c>
      <c r="D21" s="135" t="s">
        <v>40</v>
      </c>
      <c r="E21" s="135" t="s">
        <v>41</v>
      </c>
      <c r="F21" s="151" t="s">
        <v>110</v>
      </c>
      <c r="G21" s="151" t="s">
        <v>111</v>
      </c>
      <c r="H21" s="151" t="s">
        <v>112</v>
      </c>
      <c r="I21" s="152" t="s">
        <v>113</v>
      </c>
      <c r="J21" s="156"/>
    </row>
    <row r="22" spans="1:10" ht="25.5" x14ac:dyDescent="0.25">
      <c r="A22" s="109" t="s">
        <v>19</v>
      </c>
      <c r="B22" s="107">
        <v>11</v>
      </c>
      <c r="C22" s="107">
        <v>11</v>
      </c>
      <c r="D22" s="107">
        <v>6</v>
      </c>
      <c r="E22" s="107">
        <v>6</v>
      </c>
      <c r="F22" s="530">
        <f t="shared" ref="F22:I23" si="10">+IFERROR(B22/(C4+C13),0)*100</f>
        <v>0.73726541554959779</v>
      </c>
      <c r="G22" s="530">
        <f t="shared" si="10"/>
        <v>0.73726541554959779</v>
      </c>
      <c r="H22" s="530">
        <f t="shared" si="10"/>
        <v>0.50590219224283306</v>
      </c>
      <c r="I22" s="530">
        <f t="shared" si="10"/>
        <v>0.77021822849807453</v>
      </c>
      <c r="J22" s="156"/>
    </row>
    <row r="23" spans="1:10" x14ac:dyDescent="0.25">
      <c r="A23" s="79" t="s">
        <v>20</v>
      </c>
      <c r="B23" s="58">
        <f>SUM(1+6)</f>
        <v>7</v>
      </c>
      <c r="C23" s="58">
        <f>SUM(1+6)</f>
        <v>7</v>
      </c>
      <c r="D23" s="58">
        <f>SUM(1+5)</f>
        <v>6</v>
      </c>
      <c r="E23" s="58">
        <f>SUM(1+5)</f>
        <v>6</v>
      </c>
      <c r="F23" s="531">
        <f t="shared" si="10"/>
        <v>3.1674208144796379</v>
      </c>
      <c r="G23" s="531">
        <f t="shared" si="10"/>
        <v>3.763440860215054</v>
      </c>
      <c r="H23" s="531">
        <f t="shared" si="10"/>
        <v>3.3149171270718232</v>
      </c>
      <c r="I23" s="531">
        <f t="shared" si="10"/>
        <v>6.3157894736842106</v>
      </c>
      <c r="J23" s="156"/>
    </row>
    <row r="24" spans="1:10" x14ac:dyDescent="0.25">
      <c r="A24" s="79" t="s">
        <v>24</v>
      </c>
      <c r="B24" s="58">
        <v>5</v>
      </c>
      <c r="C24" s="58">
        <v>5</v>
      </c>
      <c r="D24" s="58">
        <v>5</v>
      </c>
      <c r="E24" s="58">
        <v>5</v>
      </c>
      <c r="F24" s="531">
        <f t="shared" ref="F24:I25" si="11">+IFERROR(B24/(C8+C17),0)*100</f>
        <v>0.89445438282647582</v>
      </c>
      <c r="G24" s="531">
        <f t="shared" si="11"/>
        <v>0.89445438282647582</v>
      </c>
      <c r="H24" s="531">
        <f t="shared" si="11"/>
        <v>1.1709601873536302</v>
      </c>
      <c r="I24" s="531">
        <f t="shared" si="11"/>
        <v>2.1551724137931036</v>
      </c>
      <c r="J24" s="156"/>
    </row>
    <row r="25" spans="1:10" x14ac:dyDescent="0.25">
      <c r="A25" s="158" t="s">
        <v>34</v>
      </c>
      <c r="B25" s="366">
        <f>+SUM(B22:B24)</f>
        <v>23</v>
      </c>
      <c r="C25" s="366">
        <f>+SUM(C22:C24)</f>
        <v>23</v>
      </c>
      <c r="D25" s="366">
        <f>+SUM(D22:D24)</f>
        <v>17</v>
      </c>
      <c r="E25" s="366">
        <f>+SUM(E22:E24)</f>
        <v>17</v>
      </c>
      <c r="F25" s="532">
        <f t="shared" si="11"/>
        <v>0.69591527987897128</v>
      </c>
      <c r="G25" s="532">
        <f t="shared" si="11"/>
        <v>0.74145712443584788</v>
      </c>
      <c r="H25" s="532">
        <f t="shared" si="11"/>
        <v>0.68081698037645177</v>
      </c>
      <c r="I25" s="532">
        <f t="shared" si="11"/>
        <v>1.1288180610889775</v>
      </c>
      <c r="J25" s="156"/>
    </row>
    <row r="26" spans="1:10" x14ac:dyDescent="0.25">
      <c r="A26" s="153"/>
      <c r="B26" s="150"/>
      <c r="C26" s="150"/>
      <c r="D26" s="150"/>
      <c r="E26" s="87"/>
      <c r="F26" s="87"/>
      <c r="G26" s="87"/>
      <c r="H26" s="87"/>
      <c r="I26" s="150"/>
      <c r="J26" s="87"/>
    </row>
  </sheetData>
  <mergeCells count="5">
    <mergeCell ref="A2:J2"/>
    <mergeCell ref="A11:J11"/>
    <mergeCell ref="A1:J1"/>
    <mergeCell ref="A20:J20"/>
    <mergeCell ref="A19:J19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topLeftCell="A28" zoomScaleNormal="100" zoomScaleSheetLayoutView="100" workbookViewId="0">
      <selection activeCell="A12" sqref="A12:J12"/>
    </sheetView>
  </sheetViews>
  <sheetFormatPr defaultRowHeight="15.75" x14ac:dyDescent="0.25"/>
  <cols>
    <col min="1" max="1" width="24.125" customWidth="1"/>
    <col min="2" max="10" width="10.625" customWidth="1"/>
  </cols>
  <sheetData>
    <row r="1" spans="1:11" x14ac:dyDescent="0.25">
      <c r="A1" s="417" t="s">
        <v>207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ht="16.5" thickBot="1" x14ac:dyDescent="0.3">
      <c r="A2" s="431" t="s">
        <v>32</v>
      </c>
      <c r="B2" s="431"/>
      <c r="C2" s="431"/>
      <c r="D2" s="431"/>
      <c r="E2" s="431"/>
      <c r="F2" s="431"/>
      <c r="G2" s="431"/>
      <c r="H2" s="431"/>
      <c r="I2" s="431"/>
      <c r="J2" s="431"/>
    </row>
    <row r="3" spans="1:11" ht="26.25" thickBot="1" x14ac:dyDescent="0.3">
      <c r="A3" s="154" t="s">
        <v>46</v>
      </c>
      <c r="B3" s="146" t="s">
        <v>37</v>
      </c>
      <c r="C3" s="146" t="s">
        <v>38</v>
      </c>
      <c r="D3" s="147" t="s">
        <v>39</v>
      </c>
      <c r="E3" s="147" t="s">
        <v>40</v>
      </c>
      <c r="F3" s="147" t="s">
        <v>41</v>
      </c>
      <c r="G3" s="148" t="s">
        <v>42</v>
      </c>
      <c r="H3" s="148" t="s">
        <v>43</v>
      </c>
      <c r="I3" s="148" t="s">
        <v>44</v>
      </c>
      <c r="J3" s="149" t="s">
        <v>45</v>
      </c>
    </row>
    <row r="4" spans="1:11" ht="25.5" x14ac:dyDescent="0.25">
      <c r="A4" s="109" t="s">
        <v>19</v>
      </c>
      <c r="B4" s="107">
        <v>260</v>
      </c>
      <c r="C4" s="107">
        <v>257</v>
      </c>
      <c r="D4" s="107">
        <v>257</v>
      </c>
      <c r="E4" s="107">
        <v>202</v>
      </c>
      <c r="F4" s="107">
        <v>178</v>
      </c>
      <c r="G4" s="530">
        <f>IFERROR(C4/B4,0)</f>
        <v>0.9884615384615385</v>
      </c>
      <c r="H4" s="530">
        <f>IFERROR(E4/D4,0)</f>
        <v>0.78599221789883267</v>
      </c>
      <c r="I4" s="530">
        <f>IFERROR(F4/E4,0)</f>
        <v>0.88118811881188119</v>
      </c>
      <c r="J4" s="530">
        <f>IFERROR(F4/B4,0)</f>
        <v>0.68461538461538463</v>
      </c>
    </row>
    <row r="5" spans="1:11" x14ac:dyDescent="0.25">
      <c r="A5" s="79" t="s">
        <v>20</v>
      </c>
      <c r="B5" s="58">
        <f>SUM(50+80)</f>
        <v>130</v>
      </c>
      <c r="C5" s="58">
        <f>SUM(12+87)</f>
        <v>99</v>
      </c>
      <c r="D5" s="58">
        <f>SUM(12+79)</f>
        <v>91</v>
      </c>
      <c r="E5" s="58">
        <f>SUM(11+75)</f>
        <v>86</v>
      </c>
      <c r="F5" s="58">
        <f>SUM(10+66)</f>
        <v>76</v>
      </c>
      <c r="G5" s="531">
        <f t="shared" ref="G5:G9" si="0">IFERROR(C5/B5,0)</f>
        <v>0.7615384615384615</v>
      </c>
      <c r="H5" s="531">
        <f t="shared" ref="H5:I9" si="1">IFERROR(E5/D5,0)</f>
        <v>0.94505494505494503</v>
      </c>
      <c r="I5" s="531">
        <f t="shared" si="1"/>
        <v>0.88372093023255816</v>
      </c>
      <c r="J5" s="531">
        <f t="shared" ref="J5:J9" si="2">IFERROR(F5/B5,0)</f>
        <v>0.58461538461538465</v>
      </c>
    </row>
    <row r="6" spans="1:11" ht="25.5" x14ac:dyDescent="0.25">
      <c r="A6" s="79" t="s">
        <v>21</v>
      </c>
      <c r="B6" s="58">
        <f>SUM(90+80)</f>
        <v>170</v>
      </c>
      <c r="C6" s="58">
        <f>SUM(143+82)</f>
        <v>225</v>
      </c>
      <c r="D6" s="58">
        <f>SUM(123+82)</f>
        <v>205</v>
      </c>
      <c r="E6" s="58">
        <f>SUM(90+65)</f>
        <v>155</v>
      </c>
      <c r="F6" s="58">
        <f>SUM(55+54)</f>
        <v>109</v>
      </c>
      <c r="G6" s="531">
        <f t="shared" si="0"/>
        <v>1.3235294117647058</v>
      </c>
      <c r="H6" s="531">
        <f t="shared" si="1"/>
        <v>0.75609756097560976</v>
      </c>
      <c r="I6" s="531">
        <f t="shared" si="1"/>
        <v>0.70322580645161292</v>
      </c>
      <c r="J6" s="531">
        <f t="shared" si="2"/>
        <v>0.64117647058823535</v>
      </c>
    </row>
    <row r="7" spans="1:11" x14ac:dyDescent="0.25">
      <c r="A7" s="79" t="s">
        <v>22</v>
      </c>
      <c r="B7" s="58">
        <v>100</v>
      </c>
      <c r="C7" s="58">
        <v>165</v>
      </c>
      <c r="D7" s="58">
        <v>153</v>
      </c>
      <c r="E7" s="58">
        <v>153</v>
      </c>
      <c r="F7" s="58">
        <v>132</v>
      </c>
      <c r="G7" s="531">
        <f t="shared" si="0"/>
        <v>1.65</v>
      </c>
      <c r="H7" s="531">
        <f t="shared" si="1"/>
        <v>1</v>
      </c>
      <c r="I7" s="531">
        <f t="shared" si="1"/>
        <v>0.86274509803921573</v>
      </c>
      <c r="J7" s="531">
        <f t="shared" si="2"/>
        <v>1.32</v>
      </c>
    </row>
    <row r="8" spans="1:11" x14ac:dyDescent="0.25">
      <c r="A8" s="79" t="s">
        <v>23</v>
      </c>
      <c r="B8" s="58"/>
      <c r="C8" s="58"/>
      <c r="D8" s="58"/>
      <c r="E8" s="58"/>
      <c r="F8" s="58"/>
      <c r="G8" s="531">
        <f t="shared" si="0"/>
        <v>0</v>
      </c>
      <c r="H8" s="531">
        <f t="shared" si="1"/>
        <v>0</v>
      </c>
      <c r="I8" s="531">
        <f t="shared" si="1"/>
        <v>0</v>
      </c>
      <c r="J8" s="531">
        <f t="shared" si="2"/>
        <v>0</v>
      </c>
      <c r="K8" s="4"/>
    </row>
    <row r="9" spans="1:11" x14ac:dyDescent="0.25">
      <c r="A9" s="79" t="s">
        <v>24</v>
      </c>
      <c r="B9" s="58">
        <v>50</v>
      </c>
      <c r="C9" s="58">
        <v>66</v>
      </c>
      <c r="D9" s="58">
        <v>56</v>
      </c>
      <c r="E9" s="58">
        <v>56</v>
      </c>
      <c r="F9" s="58">
        <v>51</v>
      </c>
      <c r="G9" s="531">
        <f t="shared" si="0"/>
        <v>1.32</v>
      </c>
      <c r="H9" s="531">
        <f t="shared" si="1"/>
        <v>1</v>
      </c>
      <c r="I9" s="531">
        <f t="shared" si="1"/>
        <v>0.9107142857142857</v>
      </c>
      <c r="J9" s="531">
        <f t="shared" si="2"/>
        <v>1.02</v>
      </c>
      <c r="K9" s="4"/>
    </row>
    <row r="10" spans="1:11" x14ac:dyDescent="0.25">
      <c r="A10" s="158" t="s">
        <v>34</v>
      </c>
      <c r="B10" s="366">
        <f>SUM(B4:B9)</f>
        <v>710</v>
      </c>
      <c r="C10" s="366">
        <f>SUM(C4:C9)</f>
        <v>812</v>
      </c>
      <c r="D10" s="366">
        <f>SUM(D4:D9)</f>
        <v>762</v>
      </c>
      <c r="E10" s="366">
        <f>SUM(E4:E9)</f>
        <v>652</v>
      </c>
      <c r="F10" s="366">
        <f>SUM(F4:F9)</f>
        <v>546</v>
      </c>
      <c r="G10" s="532">
        <f>IFERROR(C10/B10,0)</f>
        <v>1.1436619718309859</v>
      </c>
      <c r="H10" s="532">
        <f t="shared" ref="H10:I10" si="3">IFERROR(E10/D10,0)</f>
        <v>0.85564304461942253</v>
      </c>
      <c r="I10" s="532">
        <f t="shared" si="3"/>
        <v>0.83742331288343563</v>
      </c>
      <c r="J10" s="532">
        <f>IFERROR(F10/B10,0)</f>
        <v>0.76901408450704223</v>
      </c>
    </row>
    <row r="11" spans="1:11" x14ac:dyDescent="0.25">
      <c r="A11" s="163"/>
      <c r="B11" s="150"/>
      <c r="C11" s="150"/>
      <c r="D11" s="150"/>
      <c r="E11" s="150"/>
      <c r="F11" s="150"/>
      <c r="G11" s="150"/>
      <c r="H11" s="150"/>
      <c r="I11" s="87"/>
      <c r="J11" s="150"/>
    </row>
    <row r="12" spans="1:11" ht="16.5" thickBot="1" x14ac:dyDescent="0.3">
      <c r="A12" s="431" t="s">
        <v>33</v>
      </c>
      <c r="B12" s="443"/>
      <c r="C12" s="443"/>
      <c r="D12" s="443"/>
      <c r="E12" s="443"/>
      <c r="F12" s="443"/>
      <c r="G12" s="443"/>
      <c r="H12" s="443"/>
      <c r="I12" s="443"/>
      <c r="J12" s="443"/>
    </row>
    <row r="13" spans="1:11" ht="26.25" thickBot="1" x14ac:dyDescent="0.3">
      <c r="A13" s="154" t="s">
        <v>46</v>
      </c>
      <c r="B13" s="146" t="s">
        <v>37</v>
      </c>
      <c r="C13" s="146" t="s">
        <v>38</v>
      </c>
      <c r="D13" s="147" t="s">
        <v>39</v>
      </c>
      <c r="E13" s="147" t="s">
        <v>40</v>
      </c>
      <c r="F13" s="147" t="s">
        <v>41</v>
      </c>
      <c r="G13" s="146" t="s">
        <v>42</v>
      </c>
      <c r="H13" s="146" t="s">
        <v>43</v>
      </c>
      <c r="I13" s="146" t="s">
        <v>44</v>
      </c>
      <c r="J13" s="164" t="s">
        <v>45</v>
      </c>
    </row>
    <row r="14" spans="1:11" ht="25.5" x14ac:dyDescent="0.25">
      <c r="A14" s="109" t="s">
        <v>19</v>
      </c>
      <c r="B14" s="107">
        <v>260</v>
      </c>
      <c r="C14" s="107">
        <v>159</v>
      </c>
      <c r="D14" s="107">
        <v>159</v>
      </c>
      <c r="E14" s="107">
        <v>137</v>
      </c>
      <c r="F14" s="107">
        <v>108</v>
      </c>
      <c r="G14" s="530">
        <f>IFERROR(C14/B14,0)</f>
        <v>0.61153846153846159</v>
      </c>
      <c r="H14" s="530">
        <f>IFERROR(E14/D14,0)</f>
        <v>0.86163522012578619</v>
      </c>
      <c r="I14" s="530">
        <f>IFERROR(F14/E14,0)</f>
        <v>0.78832116788321172</v>
      </c>
      <c r="J14" s="530">
        <f>IFERROR(F14/B14,0)</f>
        <v>0.41538461538461541</v>
      </c>
    </row>
    <row r="15" spans="1:11" x14ac:dyDescent="0.25">
      <c r="A15" s="79" t="s">
        <v>20</v>
      </c>
      <c r="B15" s="58">
        <f>SUM(20+20)</f>
        <v>40</v>
      </c>
      <c r="C15" s="58">
        <f>SUM(9+6)</f>
        <v>15</v>
      </c>
      <c r="D15" s="58">
        <f>SUM(8+6)</f>
        <v>14</v>
      </c>
      <c r="E15" s="58">
        <f>SUM(8+4)</f>
        <v>12</v>
      </c>
      <c r="F15" s="58">
        <f>SUM(6+4)</f>
        <v>10</v>
      </c>
      <c r="G15" s="531">
        <f t="shared" ref="G15:G18" si="4">IFERROR(C15/B15,0)</f>
        <v>0.375</v>
      </c>
      <c r="H15" s="531">
        <f t="shared" ref="H15:I17" si="5">IFERROR(E15/D15,0)</f>
        <v>0.8571428571428571</v>
      </c>
      <c r="I15" s="531">
        <f t="shared" si="5"/>
        <v>0.83333333333333337</v>
      </c>
      <c r="J15" s="531">
        <f t="shared" ref="J15:J18" si="6">IFERROR(F15/B15,0)</f>
        <v>0.25</v>
      </c>
    </row>
    <row r="16" spans="1:11" ht="25.5" x14ac:dyDescent="0.25">
      <c r="A16" s="79" t="s">
        <v>21</v>
      </c>
      <c r="B16" s="58">
        <v>50</v>
      </c>
      <c r="C16" s="58">
        <v>47</v>
      </c>
      <c r="D16" s="58">
        <v>47</v>
      </c>
      <c r="E16" s="58">
        <v>43</v>
      </c>
      <c r="F16" s="58">
        <v>38</v>
      </c>
      <c r="G16" s="531">
        <f t="shared" si="4"/>
        <v>0.94</v>
      </c>
      <c r="H16" s="531">
        <f t="shared" si="5"/>
        <v>0.91489361702127658</v>
      </c>
      <c r="I16" s="531">
        <f t="shared" si="5"/>
        <v>0.88372093023255816</v>
      </c>
      <c r="J16" s="531">
        <f t="shared" si="6"/>
        <v>0.76</v>
      </c>
    </row>
    <row r="17" spans="1:10" x14ac:dyDescent="0.25">
      <c r="A17" s="79" t="s">
        <v>22</v>
      </c>
      <c r="B17" s="58">
        <v>80</v>
      </c>
      <c r="C17" s="58">
        <v>76</v>
      </c>
      <c r="D17" s="58">
        <v>67</v>
      </c>
      <c r="E17" s="58">
        <v>67</v>
      </c>
      <c r="F17" s="58">
        <v>51</v>
      </c>
      <c r="G17" s="531">
        <f t="shared" si="4"/>
        <v>0.95</v>
      </c>
      <c r="H17" s="531">
        <f t="shared" si="5"/>
        <v>1</v>
      </c>
      <c r="I17" s="531">
        <f t="shared" si="5"/>
        <v>0.76119402985074625</v>
      </c>
      <c r="J17" s="531">
        <f t="shared" si="6"/>
        <v>0.63749999999999996</v>
      </c>
    </row>
    <row r="18" spans="1:10" x14ac:dyDescent="0.25">
      <c r="A18" s="79" t="s">
        <v>24</v>
      </c>
      <c r="B18" s="58">
        <v>70</v>
      </c>
      <c r="C18" s="58">
        <v>60</v>
      </c>
      <c r="D18" s="58">
        <v>60</v>
      </c>
      <c r="E18" s="58">
        <v>45</v>
      </c>
      <c r="F18" s="58">
        <v>38</v>
      </c>
      <c r="G18" s="531">
        <f t="shared" si="4"/>
        <v>0.8571428571428571</v>
      </c>
      <c r="H18" s="531">
        <f t="shared" ref="H18:I18" si="7">IFERROR(E18/D18,0)</f>
        <v>0.75</v>
      </c>
      <c r="I18" s="531">
        <f t="shared" si="7"/>
        <v>0.84444444444444444</v>
      </c>
      <c r="J18" s="531">
        <f t="shared" si="6"/>
        <v>0.54285714285714282</v>
      </c>
    </row>
    <row r="19" spans="1:10" x14ac:dyDescent="0.25">
      <c r="A19" s="158" t="s">
        <v>34</v>
      </c>
      <c r="B19" s="366">
        <f>SUM(B14:B18)</f>
        <v>500</v>
      </c>
      <c r="C19" s="366">
        <f>SUM(C14:C18)</f>
        <v>357</v>
      </c>
      <c r="D19" s="366">
        <f>SUM(D14:D18)</f>
        <v>347</v>
      </c>
      <c r="E19" s="366">
        <f>SUM(E14:E18)</f>
        <v>304</v>
      </c>
      <c r="F19" s="366">
        <f>SUM(F14:F18)</f>
        <v>245</v>
      </c>
      <c r="G19" s="532">
        <f>IFERROR(C19/B19,0)</f>
        <v>0.71399999999999997</v>
      </c>
      <c r="H19" s="532">
        <f>IFERROR(E19/D19,0)</f>
        <v>0.87608069164265134</v>
      </c>
      <c r="I19" s="532">
        <f>IFERROR(F19/E19,0)</f>
        <v>0.80592105263157898</v>
      </c>
      <c r="J19" s="532">
        <f>IFERROR(F19/B19,0)</f>
        <v>0.49</v>
      </c>
    </row>
    <row r="20" spans="1:10" x14ac:dyDescent="0.25">
      <c r="A20" s="80"/>
      <c r="B20" s="57"/>
      <c r="C20" s="57"/>
      <c r="D20" s="57"/>
      <c r="E20" s="57"/>
      <c r="F20" s="57"/>
      <c r="G20" s="165"/>
      <c r="H20" s="165"/>
      <c r="I20" s="165"/>
      <c r="J20" s="165"/>
    </row>
    <row r="21" spans="1:10" ht="16.5" thickBot="1" x14ac:dyDescent="0.3">
      <c r="A21" s="436" t="s">
        <v>91</v>
      </c>
      <c r="B21" s="421"/>
      <c r="C21" s="421"/>
      <c r="D21" s="421"/>
      <c r="E21" s="421"/>
      <c r="F21" s="444"/>
      <c r="G21" s="444"/>
      <c r="H21" s="444"/>
      <c r="I21" s="444"/>
      <c r="J21" s="444"/>
    </row>
    <row r="22" spans="1:10" ht="51.75" thickBot="1" x14ac:dyDescent="0.3">
      <c r="A22" s="157" t="s">
        <v>46</v>
      </c>
      <c r="B22" s="146" t="s">
        <v>38</v>
      </c>
      <c r="C22" s="147" t="s">
        <v>39</v>
      </c>
      <c r="D22" s="147" t="s">
        <v>40</v>
      </c>
      <c r="E22" s="147" t="s">
        <v>41</v>
      </c>
      <c r="F22" s="146" t="s">
        <v>110</v>
      </c>
      <c r="G22" s="146" t="s">
        <v>111</v>
      </c>
      <c r="H22" s="146" t="s">
        <v>112</v>
      </c>
      <c r="I22" s="164" t="s">
        <v>113</v>
      </c>
      <c r="J22" s="87"/>
    </row>
    <row r="23" spans="1:10" ht="25.5" x14ac:dyDescent="0.25">
      <c r="A23" s="109" t="s">
        <v>19</v>
      </c>
      <c r="B23" s="107">
        <v>335</v>
      </c>
      <c r="C23" s="107">
        <v>335</v>
      </c>
      <c r="D23" s="107">
        <v>291</v>
      </c>
      <c r="E23" s="107">
        <v>238</v>
      </c>
      <c r="F23" s="530">
        <f t="shared" ref="F23:I26" si="8">+IFERROR(B23/(C4+C14),0)*100</f>
        <v>80.52884615384616</v>
      </c>
      <c r="G23" s="530">
        <f t="shared" si="8"/>
        <v>80.52884615384616</v>
      </c>
      <c r="H23" s="530">
        <f t="shared" si="8"/>
        <v>85.840707964601776</v>
      </c>
      <c r="I23" s="530">
        <f t="shared" si="8"/>
        <v>83.216783216783213</v>
      </c>
      <c r="J23" s="87"/>
    </row>
    <row r="24" spans="1:10" x14ac:dyDescent="0.25">
      <c r="A24" s="79" t="s">
        <v>20</v>
      </c>
      <c r="B24" s="58">
        <f>SUM(14+70)</f>
        <v>84</v>
      </c>
      <c r="C24" s="58">
        <f>SUM(14+68)</f>
        <v>82</v>
      </c>
      <c r="D24" s="58">
        <f>SUM(13+68)</f>
        <v>81</v>
      </c>
      <c r="E24" s="58">
        <f>SUM(12+67)</f>
        <v>79</v>
      </c>
      <c r="F24" s="531">
        <f t="shared" si="8"/>
        <v>73.68421052631578</v>
      </c>
      <c r="G24" s="531">
        <f t="shared" si="8"/>
        <v>78.095238095238102</v>
      </c>
      <c r="H24" s="531">
        <f t="shared" si="8"/>
        <v>82.653061224489804</v>
      </c>
      <c r="I24" s="531">
        <f t="shared" si="8"/>
        <v>91.860465116279073</v>
      </c>
      <c r="J24" s="87"/>
    </row>
    <row r="25" spans="1:10" ht="25.5" x14ac:dyDescent="0.25">
      <c r="A25" s="79" t="s">
        <v>21</v>
      </c>
      <c r="B25" s="58">
        <f>SUM(120+46)</f>
        <v>166</v>
      </c>
      <c r="C25" s="58">
        <f>SUM(108+46)</f>
        <v>154</v>
      </c>
      <c r="D25" s="58">
        <f>SUM(108+44)</f>
        <v>152</v>
      </c>
      <c r="E25" s="58">
        <f>SUM(92+29)</f>
        <v>121</v>
      </c>
      <c r="F25" s="531">
        <f t="shared" si="8"/>
        <v>61.029411764705884</v>
      </c>
      <c r="G25" s="531">
        <f t="shared" si="8"/>
        <v>61.111111111111114</v>
      </c>
      <c r="H25" s="531">
        <f t="shared" si="8"/>
        <v>76.767676767676761</v>
      </c>
      <c r="I25" s="531">
        <f t="shared" si="8"/>
        <v>82.312925170068027</v>
      </c>
      <c r="J25" s="87"/>
    </row>
    <row r="26" spans="1:10" x14ac:dyDescent="0.25">
      <c r="A26" s="79" t="s">
        <v>22</v>
      </c>
      <c r="B26" s="58">
        <v>217</v>
      </c>
      <c r="C26" s="58">
        <v>215</v>
      </c>
      <c r="D26" s="58">
        <v>215</v>
      </c>
      <c r="E26" s="58">
        <v>164</v>
      </c>
      <c r="F26" s="531">
        <f t="shared" si="8"/>
        <v>90.041493775933617</v>
      </c>
      <c r="G26" s="531">
        <f t="shared" si="8"/>
        <v>97.727272727272734</v>
      </c>
      <c r="H26" s="531">
        <f t="shared" si="8"/>
        <v>97.727272727272734</v>
      </c>
      <c r="I26" s="531">
        <f t="shared" si="8"/>
        <v>89.617486338797818</v>
      </c>
      <c r="J26" s="87"/>
    </row>
    <row r="27" spans="1:10" x14ac:dyDescent="0.25">
      <c r="A27" s="79" t="s">
        <v>24</v>
      </c>
      <c r="B27" s="58">
        <v>126</v>
      </c>
      <c r="C27" s="58">
        <v>116</v>
      </c>
      <c r="D27" s="58">
        <v>101</v>
      </c>
      <c r="E27" s="58">
        <v>89</v>
      </c>
      <c r="F27" s="531">
        <f t="shared" ref="F27:I28" si="9">+IFERROR(B27/(C9+C18),0)*100</f>
        <v>100</v>
      </c>
      <c r="G27" s="531">
        <f t="shared" si="9"/>
        <v>100</v>
      </c>
      <c r="H27" s="531">
        <f t="shared" si="9"/>
        <v>100</v>
      </c>
      <c r="I27" s="531">
        <f t="shared" si="9"/>
        <v>100</v>
      </c>
      <c r="J27" s="87"/>
    </row>
    <row r="28" spans="1:10" x14ac:dyDescent="0.25">
      <c r="A28" s="158" t="s">
        <v>34</v>
      </c>
      <c r="B28" s="366">
        <f>SUM(B23:B27)</f>
        <v>928</v>
      </c>
      <c r="C28" s="366">
        <f>SUM(C23:C27)</f>
        <v>902</v>
      </c>
      <c r="D28" s="366">
        <f>SUM(D23:D27)</f>
        <v>840</v>
      </c>
      <c r="E28" s="366">
        <f>SUM(E23:E27)</f>
        <v>691</v>
      </c>
      <c r="F28" s="532">
        <f t="shared" si="9"/>
        <v>79.384088964927287</v>
      </c>
      <c r="G28" s="532">
        <f t="shared" si="9"/>
        <v>81.334535617673581</v>
      </c>
      <c r="H28" s="532">
        <f t="shared" si="9"/>
        <v>87.86610878661088</v>
      </c>
      <c r="I28" s="532">
        <f t="shared" si="9"/>
        <v>87.357774968394438</v>
      </c>
      <c r="J28" s="87"/>
    </row>
    <row r="29" spans="1:10" x14ac:dyDescent="0.25">
      <c r="A29" s="153"/>
      <c r="B29" s="150"/>
      <c r="C29" s="150"/>
      <c r="D29" s="87"/>
      <c r="E29" s="150"/>
      <c r="F29" s="87"/>
      <c r="G29" s="87"/>
      <c r="H29" s="87"/>
      <c r="I29" s="150"/>
      <c r="J29" s="87"/>
    </row>
    <row r="30" spans="1:10" ht="16.5" thickBot="1" x14ac:dyDescent="0.3">
      <c r="A30" s="441" t="s">
        <v>92</v>
      </c>
      <c r="B30" s="442"/>
      <c r="C30" s="442"/>
      <c r="D30" s="442"/>
      <c r="E30" s="442"/>
      <c r="F30" s="442"/>
      <c r="G30" s="442"/>
      <c r="H30" s="442"/>
      <c r="I30" s="442"/>
      <c r="J30" s="442"/>
    </row>
    <row r="31" spans="1:10" ht="51.75" thickBot="1" x14ac:dyDescent="0.3">
      <c r="A31" s="157" t="s">
        <v>46</v>
      </c>
      <c r="B31" s="146" t="s">
        <v>38</v>
      </c>
      <c r="C31" s="147" t="s">
        <v>39</v>
      </c>
      <c r="D31" s="147" t="s">
        <v>40</v>
      </c>
      <c r="E31" s="147" t="s">
        <v>41</v>
      </c>
      <c r="F31" s="146" t="s">
        <v>110</v>
      </c>
      <c r="G31" s="146" t="s">
        <v>111</v>
      </c>
      <c r="H31" s="146" t="s">
        <v>112</v>
      </c>
      <c r="I31" s="164" t="s">
        <v>113</v>
      </c>
      <c r="J31" s="87"/>
    </row>
    <row r="32" spans="1:10" ht="25.5" x14ac:dyDescent="0.25">
      <c r="A32" s="109" t="s">
        <v>19</v>
      </c>
      <c r="B32" s="107">
        <v>2</v>
      </c>
      <c r="C32" s="107">
        <v>2</v>
      </c>
      <c r="D32" s="107">
        <v>1</v>
      </c>
      <c r="E32" s="107">
        <v>1</v>
      </c>
      <c r="F32" s="530">
        <f t="shared" ref="F32:I33" si="10">+IFERROR(B32/(C4+C14),0)*100</f>
        <v>0.48076923076923078</v>
      </c>
      <c r="G32" s="530">
        <f t="shared" si="10"/>
        <v>0.48076923076923078</v>
      </c>
      <c r="H32" s="530">
        <f t="shared" si="10"/>
        <v>0.29498525073746312</v>
      </c>
      <c r="I32" s="530">
        <f t="shared" si="10"/>
        <v>0.34965034965034963</v>
      </c>
      <c r="J32" s="87"/>
    </row>
    <row r="33" spans="1:10" x14ac:dyDescent="0.25">
      <c r="A33" s="79" t="s">
        <v>20</v>
      </c>
      <c r="B33" s="58">
        <v>1</v>
      </c>
      <c r="C33" s="58">
        <v>1</v>
      </c>
      <c r="D33" s="58">
        <v>1</v>
      </c>
      <c r="E33" s="58">
        <v>1</v>
      </c>
      <c r="F33" s="531">
        <f t="shared" si="10"/>
        <v>0.8771929824561403</v>
      </c>
      <c r="G33" s="531">
        <f t="shared" si="10"/>
        <v>0.95238095238095244</v>
      </c>
      <c r="H33" s="531">
        <f t="shared" si="10"/>
        <v>1.0204081632653061</v>
      </c>
      <c r="I33" s="531">
        <f t="shared" si="10"/>
        <v>1.1627906976744187</v>
      </c>
      <c r="J33" s="87"/>
    </row>
    <row r="34" spans="1:10" x14ac:dyDescent="0.25">
      <c r="A34" s="158" t="s">
        <v>34</v>
      </c>
      <c r="B34" s="366">
        <f>SUM(B32:B33)</f>
        <v>3</v>
      </c>
      <c r="C34" s="366">
        <f>SUM(C32:C33)</f>
        <v>3</v>
      </c>
      <c r="D34" s="366">
        <f>SUM(D32:D33)</f>
        <v>2</v>
      </c>
      <c r="E34" s="366">
        <f>SUM(E32:E33)</f>
        <v>2</v>
      </c>
      <c r="F34" s="532">
        <f>+IFERROR(B34/(C10+C19),0)*100</f>
        <v>0.25662959794696322</v>
      </c>
      <c r="G34" s="532">
        <f>+IFERROR(C34/(D10+D19),0)*100</f>
        <v>0.27051397655545539</v>
      </c>
      <c r="H34" s="532">
        <f>+IFERROR(D34/(E10+E19),0)*100</f>
        <v>0.20920502092050208</v>
      </c>
      <c r="I34" s="532">
        <f>+IFERROR(E34/(F10+F19),0)*100</f>
        <v>0.25284450063211128</v>
      </c>
      <c r="J34" s="166"/>
    </row>
    <row r="35" spans="1:10" x14ac:dyDescent="0.25">
      <c r="A35" s="15"/>
      <c r="B35" s="4"/>
      <c r="C35" s="4"/>
      <c r="D35" s="4"/>
      <c r="I35" s="4"/>
    </row>
    <row r="36" spans="1:10" x14ac:dyDescent="0.25">
      <c r="A36" s="15"/>
      <c r="B36" s="4"/>
      <c r="C36" s="4"/>
      <c r="D36" s="4"/>
      <c r="E36" s="4"/>
    </row>
    <row r="37" spans="1:10" x14ac:dyDescent="0.25">
      <c r="A37" s="15"/>
      <c r="B37" s="4"/>
      <c r="C37" s="4"/>
      <c r="D37" s="4"/>
      <c r="E37" s="4"/>
    </row>
    <row r="38" spans="1:10" x14ac:dyDescent="0.25">
      <c r="A38" s="15"/>
      <c r="B38" s="4"/>
      <c r="C38" s="4"/>
      <c r="D38" s="4"/>
      <c r="E38" s="4"/>
    </row>
    <row r="39" spans="1:10" x14ac:dyDescent="0.25">
      <c r="A39" s="15"/>
      <c r="B39" s="4"/>
      <c r="C39" s="4"/>
      <c r="D39" s="4"/>
      <c r="E39" s="4"/>
    </row>
    <row r="40" spans="1:10" x14ac:dyDescent="0.25">
      <c r="A40" s="15"/>
      <c r="B40" s="4"/>
      <c r="C40" s="4"/>
      <c r="D40" s="4"/>
      <c r="E40" s="4"/>
    </row>
    <row r="41" spans="1:10" x14ac:dyDescent="0.25">
      <c r="A41" s="7"/>
      <c r="B41" s="4"/>
      <c r="C41" s="4"/>
      <c r="D41" s="4"/>
      <c r="E41" s="4"/>
    </row>
    <row r="42" spans="1:10" x14ac:dyDescent="0.25">
      <c r="A42" s="15"/>
      <c r="B42" s="4"/>
      <c r="C42" s="4"/>
      <c r="D42" s="4"/>
      <c r="E42" s="4"/>
    </row>
  </sheetData>
  <mergeCells count="5">
    <mergeCell ref="A30:J30"/>
    <mergeCell ref="A12:J12"/>
    <mergeCell ref="A1:J1"/>
    <mergeCell ref="A2:J2"/>
    <mergeCell ref="A21:J21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11" max="16383" man="1"/>
    <brk id="20" max="16383" man="1"/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view="pageBreakPreview" topLeftCell="A13" zoomScale="110" zoomScaleNormal="100" zoomScaleSheetLayoutView="110" workbookViewId="0">
      <selection activeCell="F33" sqref="F33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45" t="s">
        <v>208</v>
      </c>
      <c r="B1" s="445"/>
      <c r="C1" s="445"/>
      <c r="D1" s="445"/>
      <c r="E1" s="445"/>
      <c r="F1" s="445"/>
      <c r="G1" s="445"/>
      <c r="H1" s="445"/>
      <c r="I1" s="445"/>
      <c r="J1" s="445"/>
      <c r="K1" s="51"/>
    </row>
    <row r="2" spans="1:12" ht="16.5" thickBot="1" x14ac:dyDescent="0.3">
      <c r="A2" s="431" t="s">
        <v>32</v>
      </c>
      <c r="B2" s="431"/>
      <c r="C2" s="431"/>
      <c r="D2" s="431"/>
      <c r="E2" s="431"/>
      <c r="F2" s="431"/>
      <c r="G2" s="431"/>
      <c r="H2" s="431"/>
      <c r="I2" s="431"/>
      <c r="J2" s="431"/>
      <c r="K2" s="73"/>
      <c r="L2" s="4"/>
    </row>
    <row r="3" spans="1:12" ht="26.25" thickBot="1" x14ac:dyDescent="0.3">
      <c r="A3" s="154" t="s">
        <v>46</v>
      </c>
      <c r="B3" s="146" t="s">
        <v>37</v>
      </c>
      <c r="C3" s="146" t="s">
        <v>38</v>
      </c>
      <c r="D3" s="147" t="s">
        <v>39</v>
      </c>
      <c r="E3" s="147" t="s">
        <v>40</v>
      </c>
      <c r="F3" s="147" t="s">
        <v>41</v>
      </c>
      <c r="G3" s="146" t="s">
        <v>42</v>
      </c>
      <c r="H3" s="146" t="s">
        <v>43</v>
      </c>
      <c r="I3" s="146" t="s">
        <v>44</v>
      </c>
      <c r="J3" s="164" t="s">
        <v>45</v>
      </c>
      <c r="K3" s="73"/>
      <c r="L3" s="4"/>
    </row>
    <row r="4" spans="1:12" ht="25.5" x14ac:dyDescent="0.25">
      <c r="A4" s="109" t="s">
        <v>19</v>
      </c>
      <c r="B4" s="117">
        <v>4</v>
      </c>
      <c r="C4" s="117">
        <v>19</v>
      </c>
      <c r="D4" s="117">
        <v>17</v>
      </c>
      <c r="E4" s="117">
        <v>4</v>
      </c>
      <c r="F4" s="117">
        <v>4</v>
      </c>
      <c r="G4" s="159">
        <f>IFERROR(C4/B4,0)</f>
        <v>4.75</v>
      </c>
      <c r="H4" s="159">
        <f>IFERROR(E4/D4,0)</f>
        <v>0.23529411764705882</v>
      </c>
      <c r="I4" s="159">
        <f>IFERROR(F4/E4,0)</f>
        <v>1</v>
      </c>
      <c r="J4" s="159">
        <f>IFERROR(F4/B4,0)</f>
        <v>1</v>
      </c>
      <c r="K4" s="73"/>
      <c r="L4" s="4"/>
    </row>
    <row r="5" spans="1:12" x14ac:dyDescent="0.25">
      <c r="A5" s="79" t="s">
        <v>20</v>
      </c>
      <c r="B5" s="119">
        <f>SUM(2+3)</f>
        <v>5</v>
      </c>
      <c r="C5" s="119">
        <f>SUM(8+21)</f>
        <v>29</v>
      </c>
      <c r="D5" s="119">
        <f>SUM(7+14)</f>
        <v>21</v>
      </c>
      <c r="E5" s="119">
        <f>SUM(3+3)</f>
        <v>6</v>
      </c>
      <c r="F5" s="119">
        <f>SUM(3+3)</f>
        <v>6</v>
      </c>
      <c r="G5" s="160">
        <f t="shared" ref="G5:G9" si="0">IFERROR(C5/B5,0)</f>
        <v>5.8</v>
      </c>
      <c r="H5" s="160">
        <f t="shared" ref="H5:I7" si="1">IFERROR(E5/D5,0)</f>
        <v>0.2857142857142857</v>
      </c>
      <c r="I5" s="160">
        <f t="shared" si="1"/>
        <v>1</v>
      </c>
      <c r="J5" s="160">
        <f t="shared" ref="J5:J9" si="2">IFERROR(F5/B5,0)</f>
        <v>1.2</v>
      </c>
      <c r="K5" s="73"/>
      <c r="L5" s="4"/>
    </row>
    <row r="6" spans="1:12" ht="25.5" x14ac:dyDescent="0.25">
      <c r="A6" s="79" t="s">
        <v>21</v>
      </c>
      <c r="B6" s="119">
        <f>SUM(2+2)</f>
        <v>4</v>
      </c>
      <c r="C6" s="119">
        <f>SUM(8+2)</f>
        <v>10</v>
      </c>
      <c r="D6" s="119">
        <f>SUM(5+2)</f>
        <v>7</v>
      </c>
      <c r="E6" s="119">
        <f>SUM(1+1)</f>
        <v>2</v>
      </c>
      <c r="F6" s="119">
        <f>SUM(1+1)</f>
        <v>2</v>
      </c>
      <c r="G6" s="160">
        <f t="shared" si="0"/>
        <v>2.5</v>
      </c>
      <c r="H6" s="160">
        <f t="shared" si="1"/>
        <v>0.2857142857142857</v>
      </c>
      <c r="I6" s="160">
        <f t="shared" si="1"/>
        <v>1</v>
      </c>
      <c r="J6" s="160">
        <f t="shared" si="2"/>
        <v>0.5</v>
      </c>
      <c r="K6" s="73"/>
      <c r="L6" s="4"/>
    </row>
    <row r="7" spans="1:12" x14ac:dyDescent="0.25">
      <c r="A7" s="79" t="s">
        <v>22</v>
      </c>
      <c r="B7" s="119">
        <v>6</v>
      </c>
      <c r="C7" s="119">
        <v>22</v>
      </c>
      <c r="D7" s="119">
        <v>20</v>
      </c>
      <c r="E7" s="119">
        <v>6</v>
      </c>
      <c r="F7" s="119">
        <v>6</v>
      </c>
      <c r="G7" s="160">
        <f t="shared" si="0"/>
        <v>3.6666666666666665</v>
      </c>
      <c r="H7" s="160">
        <f t="shared" si="1"/>
        <v>0.3</v>
      </c>
      <c r="I7" s="160">
        <f t="shared" si="1"/>
        <v>1</v>
      </c>
      <c r="J7" s="160">
        <f t="shared" si="2"/>
        <v>1</v>
      </c>
      <c r="K7" s="73"/>
      <c r="L7" s="4"/>
    </row>
    <row r="8" spans="1:12" x14ac:dyDescent="0.25">
      <c r="A8" s="79" t="s">
        <v>24</v>
      </c>
      <c r="B8" s="119">
        <v>6</v>
      </c>
      <c r="C8" s="119">
        <v>6</v>
      </c>
      <c r="D8" s="119">
        <v>6</v>
      </c>
      <c r="E8" s="119">
        <v>3</v>
      </c>
      <c r="F8" s="119">
        <v>3</v>
      </c>
      <c r="G8" s="160">
        <f t="shared" si="0"/>
        <v>1</v>
      </c>
      <c r="H8" s="160">
        <f t="shared" ref="H8:I9" si="3">IFERROR(E8/D8,0)</f>
        <v>0.5</v>
      </c>
      <c r="I8" s="160">
        <f t="shared" si="3"/>
        <v>1</v>
      </c>
      <c r="J8" s="160">
        <f t="shared" si="2"/>
        <v>0.5</v>
      </c>
      <c r="K8" s="73"/>
      <c r="L8" s="4"/>
    </row>
    <row r="9" spans="1:12" x14ac:dyDescent="0.25">
      <c r="A9" s="168" t="s">
        <v>34</v>
      </c>
      <c r="B9" s="142">
        <f>SUM(B4:B8)</f>
        <v>25</v>
      </c>
      <c r="C9" s="142">
        <f>SUM(C4:C8)</f>
        <v>86</v>
      </c>
      <c r="D9" s="142">
        <f>SUM(D4:D8)</f>
        <v>71</v>
      </c>
      <c r="E9" s="142">
        <f>SUM(E4:E8)</f>
        <v>21</v>
      </c>
      <c r="F9" s="142">
        <f>SUM(F4:F8)</f>
        <v>21</v>
      </c>
      <c r="G9" s="161">
        <f t="shared" si="0"/>
        <v>3.44</v>
      </c>
      <c r="H9" s="161">
        <f t="shared" si="3"/>
        <v>0.29577464788732394</v>
      </c>
      <c r="I9" s="161">
        <f t="shared" si="3"/>
        <v>1</v>
      </c>
      <c r="J9" s="161">
        <f t="shared" si="2"/>
        <v>0.84</v>
      </c>
      <c r="K9" s="73"/>
      <c r="L9" s="4"/>
    </row>
    <row r="10" spans="1:12" x14ac:dyDescent="0.25">
      <c r="A10" s="163"/>
      <c r="B10" s="150"/>
      <c r="C10" s="150"/>
      <c r="D10" s="150"/>
      <c r="E10" s="150"/>
      <c r="F10" s="150"/>
      <c r="G10" s="150"/>
      <c r="H10" s="150"/>
      <c r="I10" s="150"/>
      <c r="J10" s="150"/>
      <c r="K10" s="73"/>
      <c r="L10" s="4"/>
    </row>
    <row r="11" spans="1:12" ht="16.5" thickBot="1" x14ac:dyDescent="0.3">
      <c r="A11" s="431" t="s">
        <v>33</v>
      </c>
      <c r="B11" s="431"/>
      <c r="C11" s="431"/>
      <c r="D11" s="431"/>
      <c r="E11" s="431"/>
      <c r="F11" s="431"/>
      <c r="G11" s="431"/>
      <c r="H11" s="431"/>
      <c r="I11" s="431"/>
      <c r="J11" s="431"/>
      <c r="K11" s="73"/>
      <c r="L11" s="4"/>
    </row>
    <row r="12" spans="1:12" ht="26.25" thickBot="1" x14ac:dyDescent="0.3">
      <c r="A12" s="154" t="s">
        <v>46</v>
      </c>
      <c r="B12" s="146" t="s">
        <v>37</v>
      </c>
      <c r="C12" s="146" t="s">
        <v>38</v>
      </c>
      <c r="D12" s="147" t="s">
        <v>39</v>
      </c>
      <c r="E12" s="147" t="s">
        <v>40</v>
      </c>
      <c r="F12" s="147" t="s">
        <v>41</v>
      </c>
      <c r="G12" s="146" t="s">
        <v>42</v>
      </c>
      <c r="H12" s="146" t="s">
        <v>43</v>
      </c>
      <c r="I12" s="146" t="s">
        <v>44</v>
      </c>
      <c r="J12" s="164" t="s">
        <v>45</v>
      </c>
      <c r="K12" s="73"/>
      <c r="L12" s="4"/>
    </row>
    <row r="13" spans="1:12" ht="25.5" x14ac:dyDescent="0.25">
      <c r="A13" s="109" t="s">
        <v>19</v>
      </c>
      <c r="B13" s="117">
        <v>3</v>
      </c>
      <c r="C13" s="117">
        <v>3</v>
      </c>
      <c r="D13" s="117">
        <v>3</v>
      </c>
      <c r="E13" s="117">
        <v>0</v>
      </c>
      <c r="F13" s="117">
        <v>0</v>
      </c>
      <c r="G13" s="159">
        <f>IFERROR(C13/B13,0)</f>
        <v>1</v>
      </c>
      <c r="H13" s="159">
        <f>IFERROR(E13/D13,0)</f>
        <v>0</v>
      </c>
      <c r="I13" s="159">
        <f>IFERROR(F13/E13,0)</f>
        <v>0</v>
      </c>
      <c r="J13" s="159">
        <f>IFERROR(F13/B13,0)</f>
        <v>0</v>
      </c>
      <c r="K13" s="73"/>
      <c r="L13" s="4"/>
    </row>
    <row r="14" spans="1:12" ht="20.25" customHeight="1" x14ac:dyDescent="0.25">
      <c r="A14" s="79" t="s">
        <v>20</v>
      </c>
      <c r="B14" s="119">
        <f>SUM(6+5)</f>
        <v>11</v>
      </c>
      <c r="C14" s="119">
        <f>SUM(4+6)</f>
        <v>10</v>
      </c>
      <c r="D14" s="119">
        <f>SUM(3+5)</f>
        <v>8</v>
      </c>
      <c r="E14" s="119">
        <f>SUM(3+4)</f>
        <v>7</v>
      </c>
      <c r="F14" s="119">
        <f>SUM(3+4)</f>
        <v>7</v>
      </c>
      <c r="G14" s="160">
        <f t="shared" ref="G14:G18" si="4">IFERROR(C14/B14,0)</f>
        <v>0.90909090909090906</v>
      </c>
      <c r="H14" s="160">
        <f t="shared" ref="H14:I16" si="5">IFERROR(E14/D14,0)</f>
        <v>0.875</v>
      </c>
      <c r="I14" s="160">
        <f t="shared" si="5"/>
        <v>1</v>
      </c>
      <c r="J14" s="160">
        <f t="shared" ref="J14:J18" si="6">IFERROR(F14/B14,0)</f>
        <v>0.63636363636363635</v>
      </c>
      <c r="K14" s="73"/>
      <c r="L14" s="4"/>
    </row>
    <row r="15" spans="1:12" ht="25.5" x14ac:dyDescent="0.25">
      <c r="A15" s="79" t="s">
        <v>21</v>
      </c>
      <c r="B15" s="119">
        <f>SUM(5+1)</f>
        <v>6</v>
      </c>
      <c r="C15" s="119">
        <f>SUM(8+1)</f>
        <v>9</v>
      </c>
      <c r="D15" s="119">
        <f>SUM(5+1)</f>
        <v>6</v>
      </c>
      <c r="E15" s="119">
        <f>SUM(3+1)</f>
        <v>4</v>
      </c>
      <c r="F15" s="119">
        <f>SUM(3+1)</f>
        <v>4</v>
      </c>
      <c r="G15" s="160">
        <f t="shared" si="4"/>
        <v>1.5</v>
      </c>
      <c r="H15" s="160">
        <f t="shared" si="5"/>
        <v>0.66666666666666663</v>
      </c>
      <c r="I15" s="160">
        <f t="shared" si="5"/>
        <v>1</v>
      </c>
      <c r="J15" s="160">
        <f t="shared" si="6"/>
        <v>0.66666666666666663</v>
      </c>
      <c r="K15" s="8"/>
    </row>
    <row r="16" spans="1:12" ht="19.5" customHeight="1" x14ac:dyDescent="0.25">
      <c r="A16" s="79" t="s">
        <v>22</v>
      </c>
      <c r="B16" s="119">
        <v>25</v>
      </c>
      <c r="C16" s="119">
        <v>15</v>
      </c>
      <c r="D16" s="119">
        <v>14</v>
      </c>
      <c r="E16" s="119">
        <v>13</v>
      </c>
      <c r="F16" s="119">
        <v>12</v>
      </c>
      <c r="G16" s="160">
        <f t="shared" si="4"/>
        <v>0.6</v>
      </c>
      <c r="H16" s="160">
        <f t="shared" si="5"/>
        <v>0.9285714285714286</v>
      </c>
      <c r="I16" s="160">
        <f t="shared" si="5"/>
        <v>0.92307692307692313</v>
      </c>
      <c r="J16" s="160">
        <f t="shared" si="6"/>
        <v>0.48</v>
      </c>
      <c r="K16" s="8"/>
    </row>
    <row r="17" spans="1:11" ht="20.25" customHeight="1" x14ac:dyDescent="0.25">
      <c r="A17" s="79" t="s">
        <v>24</v>
      </c>
      <c r="B17" s="119">
        <v>7</v>
      </c>
      <c r="C17" s="119">
        <v>7</v>
      </c>
      <c r="D17" s="119">
        <v>6</v>
      </c>
      <c r="E17" s="119">
        <v>3</v>
      </c>
      <c r="F17" s="119">
        <v>3</v>
      </c>
      <c r="G17" s="160">
        <f t="shared" si="4"/>
        <v>1</v>
      </c>
      <c r="H17" s="160">
        <f t="shared" ref="H17:I18" si="7">IFERROR(E17/D17,0)</f>
        <v>0.5</v>
      </c>
      <c r="I17" s="160">
        <f t="shared" si="7"/>
        <v>1</v>
      </c>
      <c r="J17" s="160">
        <f t="shared" si="6"/>
        <v>0.42857142857142855</v>
      </c>
      <c r="K17" s="8"/>
    </row>
    <row r="18" spans="1:11" x14ac:dyDescent="0.25">
      <c r="A18" s="168" t="s">
        <v>34</v>
      </c>
      <c r="B18" s="142">
        <f>SUM(B13:B17)</f>
        <v>52</v>
      </c>
      <c r="C18" s="142">
        <f>SUM(C13:C17)</f>
        <v>44</v>
      </c>
      <c r="D18" s="142">
        <f>SUM(D13:D17)</f>
        <v>37</v>
      </c>
      <c r="E18" s="142">
        <f>SUM(E13:E17)</f>
        <v>27</v>
      </c>
      <c r="F18" s="142">
        <f>SUM(F13:F17)</f>
        <v>26</v>
      </c>
      <c r="G18" s="161">
        <f t="shared" si="4"/>
        <v>0.84615384615384615</v>
      </c>
      <c r="H18" s="161">
        <f t="shared" si="7"/>
        <v>0.72972972972972971</v>
      </c>
      <c r="I18" s="161">
        <f t="shared" si="7"/>
        <v>0.96296296296296291</v>
      </c>
      <c r="J18" s="161">
        <f t="shared" si="6"/>
        <v>0.5</v>
      </c>
      <c r="K18" s="8"/>
    </row>
    <row r="19" spans="1:11" x14ac:dyDescent="0.25">
      <c r="A19" s="80"/>
      <c r="B19" s="57"/>
      <c r="C19" s="57"/>
      <c r="D19" s="57"/>
      <c r="E19" s="57"/>
      <c r="F19" s="57"/>
      <c r="G19" s="165"/>
      <c r="H19" s="165"/>
      <c r="I19" s="165"/>
      <c r="J19" s="165"/>
      <c r="K19" s="8"/>
    </row>
    <row r="20" spans="1:11" ht="16.5" thickBot="1" x14ac:dyDescent="0.3">
      <c r="A20" s="436" t="s">
        <v>91</v>
      </c>
      <c r="B20" s="421"/>
      <c r="C20" s="421"/>
      <c r="D20" s="421"/>
      <c r="E20" s="421"/>
      <c r="F20" s="437"/>
      <c r="G20" s="437"/>
      <c r="H20" s="437"/>
      <c r="I20" s="437"/>
      <c r="J20" s="437"/>
      <c r="K20" s="8"/>
    </row>
    <row r="21" spans="1:11" ht="54.75" customHeight="1" thickBot="1" x14ac:dyDescent="0.3">
      <c r="A21" s="157" t="s">
        <v>46</v>
      </c>
      <c r="B21" s="146" t="s">
        <v>38</v>
      </c>
      <c r="C21" s="147" t="s">
        <v>39</v>
      </c>
      <c r="D21" s="147" t="s">
        <v>40</v>
      </c>
      <c r="E21" s="147" t="s">
        <v>41</v>
      </c>
      <c r="F21" s="146" t="s">
        <v>110</v>
      </c>
      <c r="G21" s="146" t="s">
        <v>111</v>
      </c>
      <c r="H21" s="146" t="s">
        <v>112</v>
      </c>
      <c r="I21" s="164" t="s">
        <v>113</v>
      </c>
      <c r="J21" s="87"/>
      <c r="K21" s="8"/>
    </row>
    <row r="22" spans="1:11" ht="25.5" x14ac:dyDescent="0.25">
      <c r="A22" s="109" t="s">
        <v>19</v>
      </c>
      <c r="B22" s="117">
        <v>8</v>
      </c>
      <c r="C22" s="117">
        <v>8</v>
      </c>
      <c r="D22" s="117">
        <v>1</v>
      </c>
      <c r="E22" s="117">
        <v>1</v>
      </c>
      <c r="F22" s="159">
        <f t="shared" ref="F22:I27" si="8">+IFERROR(B22/(C4+C13),0)*100</f>
        <v>36.363636363636367</v>
      </c>
      <c r="G22" s="159">
        <f t="shared" si="8"/>
        <v>40</v>
      </c>
      <c r="H22" s="159">
        <f t="shared" si="8"/>
        <v>25</v>
      </c>
      <c r="I22" s="159">
        <f t="shared" si="8"/>
        <v>25</v>
      </c>
      <c r="J22" s="87"/>
      <c r="K22" s="8"/>
    </row>
    <row r="23" spans="1:11" x14ac:dyDescent="0.25">
      <c r="A23" s="79" t="s">
        <v>20</v>
      </c>
      <c r="B23" s="119">
        <f>SUM(6+12)</f>
        <v>18</v>
      </c>
      <c r="C23" s="119">
        <f>SUM(6+8)</f>
        <v>14</v>
      </c>
      <c r="D23" s="119">
        <f>SUM(3+3)</f>
        <v>6</v>
      </c>
      <c r="E23" s="119">
        <f>SUM(3+3)</f>
        <v>6</v>
      </c>
      <c r="F23" s="160">
        <f t="shared" si="8"/>
        <v>46.153846153846153</v>
      </c>
      <c r="G23" s="160">
        <f t="shared" si="8"/>
        <v>48.275862068965516</v>
      </c>
      <c r="H23" s="160">
        <f t="shared" si="8"/>
        <v>46.153846153846153</v>
      </c>
      <c r="I23" s="160">
        <f t="shared" si="8"/>
        <v>46.153846153846153</v>
      </c>
      <c r="J23" s="87"/>
      <c r="K23" s="8"/>
    </row>
    <row r="24" spans="1:11" ht="25.5" x14ac:dyDescent="0.25">
      <c r="A24" s="79" t="s">
        <v>21</v>
      </c>
      <c r="B24" s="119">
        <f>SUM(3+1)</f>
        <v>4</v>
      </c>
      <c r="C24" s="119">
        <f>SUM(2+1)</f>
        <v>3</v>
      </c>
      <c r="D24" s="119">
        <f>SUM(1+1)</f>
        <v>2</v>
      </c>
      <c r="E24" s="119">
        <f>SUM(1+1)</f>
        <v>2</v>
      </c>
      <c r="F24" s="160">
        <f t="shared" si="8"/>
        <v>21.052631578947366</v>
      </c>
      <c r="G24" s="160">
        <f t="shared" si="8"/>
        <v>23.076923076923077</v>
      </c>
      <c r="H24" s="160">
        <f t="shared" si="8"/>
        <v>33.333333333333329</v>
      </c>
      <c r="I24" s="160">
        <f t="shared" si="8"/>
        <v>33.333333333333329</v>
      </c>
      <c r="J24" s="87"/>
      <c r="K24" s="8"/>
    </row>
    <row r="25" spans="1:11" x14ac:dyDescent="0.25">
      <c r="A25" s="79" t="s">
        <v>22</v>
      </c>
      <c r="B25" s="119">
        <v>23</v>
      </c>
      <c r="C25" s="119">
        <v>23</v>
      </c>
      <c r="D25" s="119">
        <v>8</v>
      </c>
      <c r="E25" s="119">
        <v>8</v>
      </c>
      <c r="F25" s="160">
        <f t="shared" si="8"/>
        <v>62.162162162162161</v>
      </c>
      <c r="G25" s="160">
        <f t="shared" si="8"/>
        <v>67.64705882352942</v>
      </c>
      <c r="H25" s="160">
        <f t="shared" si="8"/>
        <v>42.105263157894733</v>
      </c>
      <c r="I25" s="160">
        <f t="shared" si="8"/>
        <v>44.444444444444443</v>
      </c>
      <c r="J25" s="87"/>
      <c r="K25" s="8"/>
    </row>
    <row r="26" spans="1:11" x14ac:dyDescent="0.25">
      <c r="A26" s="79" t="s">
        <v>24</v>
      </c>
      <c r="B26" s="119">
        <v>3</v>
      </c>
      <c r="C26" s="119">
        <v>3</v>
      </c>
      <c r="D26" s="119">
        <v>3</v>
      </c>
      <c r="E26" s="119">
        <v>3</v>
      </c>
      <c r="F26" s="160">
        <f t="shared" si="8"/>
        <v>23.076923076923077</v>
      </c>
      <c r="G26" s="160">
        <f t="shared" si="8"/>
        <v>25</v>
      </c>
      <c r="H26" s="160">
        <f t="shared" si="8"/>
        <v>50</v>
      </c>
      <c r="I26" s="160">
        <f t="shared" si="8"/>
        <v>50</v>
      </c>
      <c r="J26" s="87"/>
      <c r="K26" s="8"/>
    </row>
    <row r="27" spans="1:11" x14ac:dyDescent="0.25">
      <c r="A27" s="168" t="s">
        <v>34</v>
      </c>
      <c r="B27" s="142">
        <f>SUM(B22:B26)</f>
        <v>56</v>
      </c>
      <c r="C27" s="142">
        <f>SUM(C22:C26)</f>
        <v>51</v>
      </c>
      <c r="D27" s="142">
        <f>SUM(D22:D26)</f>
        <v>20</v>
      </c>
      <c r="E27" s="142">
        <f>SUM(E22:E26)</f>
        <v>20</v>
      </c>
      <c r="F27" s="161">
        <f t="shared" si="8"/>
        <v>43.07692307692308</v>
      </c>
      <c r="G27" s="161">
        <f t="shared" si="8"/>
        <v>47.222222222222221</v>
      </c>
      <c r="H27" s="161">
        <f t="shared" si="8"/>
        <v>41.666666666666671</v>
      </c>
      <c r="I27" s="161">
        <f t="shared" si="8"/>
        <v>42.553191489361701</v>
      </c>
      <c r="J27" s="87"/>
      <c r="K27" s="8"/>
    </row>
    <row r="28" spans="1:11" x14ac:dyDescent="0.25">
      <c r="A28" s="150"/>
      <c r="B28" s="150"/>
      <c r="C28" s="150"/>
      <c r="D28" s="87"/>
      <c r="E28" s="150"/>
      <c r="F28" s="87"/>
      <c r="G28" s="87"/>
      <c r="H28" s="87"/>
      <c r="I28" s="150"/>
      <c r="J28" s="87"/>
      <c r="K28" s="8"/>
    </row>
    <row r="29" spans="1:11" x14ac:dyDescent="0.25">
      <c r="A29" s="137"/>
      <c r="B29" s="137"/>
      <c r="C29" s="137"/>
      <c r="D29" s="137"/>
      <c r="E29" s="137"/>
      <c r="F29" s="87"/>
      <c r="G29" s="87"/>
      <c r="H29" s="87"/>
      <c r="I29" s="87"/>
      <c r="J29" s="87"/>
      <c r="K29" s="8"/>
    </row>
    <row r="30" spans="1:11" ht="17.25" customHeight="1" thickBot="1" x14ac:dyDescent="0.3">
      <c r="A30" s="446" t="s">
        <v>92</v>
      </c>
      <c r="B30" s="446"/>
      <c r="C30" s="446"/>
      <c r="D30" s="446"/>
      <c r="E30" s="446"/>
      <c r="F30" s="447"/>
      <c r="G30" s="447"/>
      <c r="H30" s="447"/>
      <c r="I30" s="447"/>
      <c r="J30" s="447"/>
      <c r="K30" s="8"/>
    </row>
    <row r="31" spans="1:11" ht="54.75" customHeight="1" thickBot="1" x14ac:dyDescent="0.3">
      <c r="A31" s="157" t="s">
        <v>46</v>
      </c>
      <c r="B31" s="146" t="s">
        <v>38</v>
      </c>
      <c r="C31" s="147" t="s">
        <v>39</v>
      </c>
      <c r="D31" s="147" t="s">
        <v>40</v>
      </c>
      <c r="E31" s="147" t="s">
        <v>41</v>
      </c>
      <c r="F31" s="146" t="s">
        <v>110</v>
      </c>
      <c r="G31" s="146" t="s">
        <v>111</v>
      </c>
      <c r="H31" s="146" t="s">
        <v>112</v>
      </c>
      <c r="I31" s="164" t="s">
        <v>113</v>
      </c>
      <c r="J31" s="87"/>
      <c r="K31" s="8"/>
    </row>
    <row r="32" spans="1:11" ht="25.5" x14ac:dyDescent="0.25">
      <c r="A32" s="109" t="s">
        <v>19</v>
      </c>
      <c r="B32" s="117">
        <v>0</v>
      </c>
      <c r="C32" s="117">
        <v>0</v>
      </c>
      <c r="D32" s="117">
        <v>0</v>
      </c>
      <c r="E32" s="117">
        <v>0</v>
      </c>
      <c r="F32" s="159">
        <f t="shared" ref="F32:I33" si="9">+IFERROR(B32/(C4+C13),0)*100</f>
        <v>0</v>
      </c>
      <c r="G32" s="159">
        <f t="shared" si="9"/>
        <v>0</v>
      </c>
      <c r="H32" s="159">
        <f t="shared" si="9"/>
        <v>0</v>
      </c>
      <c r="I32" s="159">
        <f t="shared" si="9"/>
        <v>0</v>
      </c>
      <c r="J32" s="87"/>
      <c r="K32" s="8"/>
    </row>
    <row r="33" spans="1:11" x14ac:dyDescent="0.25">
      <c r="A33" s="79" t="s">
        <v>20</v>
      </c>
      <c r="B33" s="119">
        <v>1</v>
      </c>
      <c r="C33" s="119">
        <v>1</v>
      </c>
      <c r="D33" s="119">
        <v>0</v>
      </c>
      <c r="E33" s="119">
        <v>0</v>
      </c>
      <c r="F33" s="160">
        <f t="shared" si="9"/>
        <v>2.5641025641025639</v>
      </c>
      <c r="G33" s="160">
        <f t="shared" si="9"/>
        <v>3.4482758620689653</v>
      </c>
      <c r="H33" s="160">
        <f t="shared" si="9"/>
        <v>0</v>
      </c>
      <c r="I33" s="160">
        <f t="shared" si="9"/>
        <v>0</v>
      </c>
      <c r="J33" s="87"/>
      <c r="K33" s="8"/>
    </row>
    <row r="34" spans="1:11" x14ac:dyDescent="0.25">
      <c r="A34" s="79" t="s">
        <v>22</v>
      </c>
      <c r="B34" s="119">
        <v>0</v>
      </c>
      <c r="C34" s="119">
        <v>0</v>
      </c>
      <c r="D34" s="119">
        <v>0</v>
      </c>
      <c r="E34" s="119">
        <v>0</v>
      </c>
      <c r="F34" s="160">
        <f t="shared" ref="F34:I36" si="10">+IFERROR(B34/(C7+C16),0)*100</f>
        <v>0</v>
      </c>
      <c r="G34" s="160">
        <f t="shared" si="10"/>
        <v>0</v>
      </c>
      <c r="H34" s="160">
        <f t="shared" si="10"/>
        <v>0</v>
      </c>
      <c r="I34" s="160">
        <f t="shared" si="10"/>
        <v>0</v>
      </c>
      <c r="J34" s="87"/>
      <c r="K34" s="8"/>
    </row>
    <row r="35" spans="1:11" x14ac:dyDescent="0.25">
      <c r="A35" s="79" t="s">
        <v>24</v>
      </c>
      <c r="B35" s="119">
        <v>4</v>
      </c>
      <c r="C35" s="119">
        <v>4</v>
      </c>
      <c r="D35" s="119">
        <v>4</v>
      </c>
      <c r="E35" s="119">
        <v>4</v>
      </c>
      <c r="F35" s="160">
        <f t="shared" si="10"/>
        <v>30.76923076923077</v>
      </c>
      <c r="G35" s="160">
        <f t="shared" si="10"/>
        <v>33.333333333333329</v>
      </c>
      <c r="H35" s="160">
        <f t="shared" si="10"/>
        <v>66.666666666666657</v>
      </c>
      <c r="I35" s="160">
        <f t="shared" si="10"/>
        <v>66.666666666666657</v>
      </c>
      <c r="J35" s="87"/>
      <c r="K35" s="8"/>
    </row>
    <row r="36" spans="1:11" x14ac:dyDescent="0.25">
      <c r="A36" s="168" t="s">
        <v>34</v>
      </c>
      <c r="B36" s="142">
        <f>SUM(B32:B35)</f>
        <v>5</v>
      </c>
      <c r="C36" s="142">
        <f>SUM(C32:C35)</f>
        <v>5</v>
      </c>
      <c r="D36" s="142">
        <f>SUM(D32:D35)</f>
        <v>4</v>
      </c>
      <c r="E36" s="142">
        <f>SUM(E32:E35)</f>
        <v>4</v>
      </c>
      <c r="F36" s="161">
        <f t="shared" si="10"/>
        <v>3.8461538461538463</v>
      </c>
      <c r="G36" s="161">
        <f t="shared" si="10"/>
        <v>4.6296296296296298</v>
      </c>
      <c r="H36" s="161">
        <f t="shared" si="10"/>
        <v>8.3333333333333321</v>
      </c>
      <c r="I36" s="161">
        <f t="shared" si="10"/>
        <v>8.5106382978723403</v>
      </c>
      <c r="J36" s="87"/>
      <c r="K36" s="8"/>
    </row>
    <row r="37" spans="1:11" x14ac:dyDescent="0.25">
      <c r="A37" s="167"/>
      <c r="B37" s="167"/>
      <c r="C37" s="167"/>
      <c r="D37" s="167"/>
      <c r="E37" s="87"/>
      <c r="F37" s="167"/>
      <c r="G37" s="167"/>
      <c r="H37" s="167"/>
      <c r="I37" s="167"/>
      <c r="J37" s="167"/>
      <c r="K37" s="8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</sheetData>
  <mergeCells count="5">
    <mergeCell ref="A11:J11"/>
    <mergeCell ref="A2:J2"/>
    <mergeCell ref="A1:J1"/>
    <mergeCell ref="A20:J20"/>
    <mergeCell ref="A30:J30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10" max="9" man="1"/>
    <brk id="2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B18" sqref="B18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">
      <c r="A1" s="435" t="s">
        <v>209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0" ht="15.75" customHeight="1" x14ac:dyDescent="0.25">
      <c r="A2" s="448" t="s">
        <v>47</v>
      </c>
      <c r="B2" s="455" t="s">
        <v>48</v>
      </c>
      <c r="C2" s="456"/>
      <c r="D2" s="457"/>
      <c r="E2" s="457"/>
      <c r="F2" s="169"/>
      <c r="G2" s="460" t="s">
        <v>49</v>
      </c>
      <c r="H2" s="461"/>
      <c r="I2" s="451" t="s">
        <v>50</v>
      </c>
      <c r="J2" s="453" t="s">
        <v>51</v>
      </c>
    </row>
    <row r="3" spans="1:10" ht="15.75" customHeight="1" x14ac:dyDescent="0.25">
      <c r="A3" s="449"/>
      <c r="B3" s="58"/>
      <c r="C3" s="458" t="s">
        <v>93</v>
      </c>
      <c r="D3" s="459"/>
      <c r="E3" s="459"/>
      <c r="F3" s="170"/>
      <c r="G3" s="462"/>
      <c r="H3" s="463"/>
      <c r="I3" s="452"/>
      <c r="J3" s="454"/>
    </row>
    <row r="4" spans="1:10" s="2" customFormat="1" ht="76.5" x14ac:dyDescent="0.25">
      <c r="A4" s="399"/>
      <c r="B4" s="171" t="s">
        <v>2</v>
      </c>
      <c r="C4" s="171" t="s">
        <v>210</v>
      </c>
      <c r="D4" s="171" t="s">
        <v>89</v>
      </c>
      <c r="E4" s="171" t="s">
        <v>90</v>
      </c>
      <c r="F4" s="171" t="s">
        <v>86</v>
      </c>
      <c r="G4" s="171" t="s">
        <v>84</v>
      </c>
      <c r="H4" s="171" t="s">
        <v>85</v>
      </c>
      <c r="I4" s="452"/>
      <c r="J4" s="454"/>
    </row>
    <row r="5" spans="1:10" x14ac:dyDescent="0.25">
      <c r="A5" s="464" t="s">
        <v>32</v>
      </c>
      <c r="B5" s="58">
        <v>1</v>
      </c>
      <c r="C5" s="58">
        <f>SUM(34+14+28+74+42)</f>
        <v>192</v>
      </c>
      <c r="D5" s="58">
        <v>0</v>
      </c>
      <c r="E5" s="58">
        <f>SUM(34+14+27+74+42)</f>
        <v>191</v>
      </c>
      <c r="F5" s="58">
        <v>0</v>
      </c>
      <c r="G5" s="58">
        <f>SUM(2+7)</f>
        <v>9</v>
      </c>
      <c r="H5" s="58">
        <f>SUM(41+3+2+24+3)</f>
        <v>73</v>
      </c>
      <c r="I5" s="58">
        <f>SUM(43+4+2+30+3)</f>
        <v>82</v>
      </c>
      <c r="J5" s="58">
        <f>SUM(7+3+11+1+8)</f>
        <v>30</v>
      </c>
    </row>
    <row r="6" spans="1:10" x14ac:dyDescent="0.25">
      <c r="A6" s="465"/>
      <c r="B6" s="58">
        <v>2</v>
      </c>
      <c r="C6" s="58">
        <f>SUM(41+5+7+15)</f>
        <v>68</v>
      </c>
      <c r="D6" s="58">
        <v>0</v>
      </c>
      <c r="E6" s="58">
        <f>SUM(41+5+7+15)</f>
        <v>68</v>
      </c>
      <c r="F6" s="58">
        <v>0</v>
      </c>
      <c r="G6" s="58">
        <f>SUM(3)</f>
        <v>3</v>
      </c>
      <c r="H6" s="58">
        <f>SUM(54+1+1+17)</f>
        <v>73</v>
      </c>
      <c r="I6" s="58">
        <f>SUM(52+3+1+18)</f>
        <v>74</v>
      </c>
      <c r="J6" s="58">
        <f>SUM(9+1+1)</f>
        <v>11</v>
      </c>
    </row>
    <row r="7" spans="1:10" x14ac:dyDescent="0.25">
      <c r="A7" s="465"/>
      <c r="B7" s="58" t="s">
        <v>3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</row>
    <row r="8" spans="1:10" x14ac:dyDescent="0.25">
      <c r="A8" s="466"/>
      <c r="B8" s="58">
        <v>3</v>
      </c>
      <c r="C8" s="58">
        <f>SUM(4+2+3+7)</f>
        <v>16</v>
      </c>
      <c r="D8" s="58">
        <v>0</v>
      </c>
      <c r="E8" s="58">
        <f>SUM(4+2+3+6)</f>
        <v>15</v>
      </c>
      <c r="F8" s="58">
        <v>1</v>
      </c>
      <c r="G8" s="58">
        <f>SUM(1+1)</f>
        <v>2</v>
      </c>
      <c r="H8" s="58">
        <f>SUM(10+1)</f>
        <v>11</v>
      </c>
      <c r="I8" s="58">
        <f>SUM(10+1)</f>
        <v>11</v>
      </c>
      <c r="J8" s="58">
        <f>SUM(4+2+1)</f>
        <v>7</v>
      </c>
    </row>
    <row r="9" spans="1:10" x14ac:dyDescent="0.25">
      <c r="A9" s="535" t="s">
        <v>127</v>
      </c>
      <c r="B9" s="509"/>
      <c r="C9" s="366">
        <f>+SUM(C5:C8)</f>
        <v>276</v>
      </c>
      <c r="D9" s="366">
        <f t="shared" ref="D9:J9" si="0">+SUM(D5:D8)</f>
        <v>0</v>
      </c>
      <c r="E9" s="366">
        <f t="shared" si="0"/>
        <v>274</v>
      </c>
      <c r="F9" s="366">
        <f t="shared" si="0"/>
        <v>1</v>
      </c>
      <c r="G9" s="366">
        <f t="shared" si="0"/>
        <v>14</v>
      </c>
      <c r="H9" s="366">
        <f t="shared" si="0"/>
        <v>157</v>
      </c>
      <c r="I9" s="366">
        <f t="shared" si="0"/>
        <v>167</v>
      </c>
      <c r="J9" s="366">
        <f t="shared" si="0"/>
        <v>48</v>
      </c>
    </row>
    <row r="10" spans="1:10" x14ac:dyDescent="0.25">
      <c r="A10" s="464" t="s">
        <v>33</v>
      </c>
      <c r="B10" s="58">
        <v>1</v>
      </c>
      <c r="C10" s="58">
        <f>SUM(188+37+16+372+155)</f>
        <v>768</v>
      </c>
      <c r="D10" s="58">
        <f>SUM(158+34+16+372+151)</f>
        <v>731</v>
      </c>
      <c r="E10" s="58">
        <f>SUM(30+4)</f>
        <v>34</v>
      </c>
      <c r="F10" s="58">
        <f>SUM(3)</f>
        <v>3</v>
      </c>
      <c r="G10" s="58">
        <f>SUM(1+3)</f>
        <v>4</v>
      </c>
      <c r="H10" s="58">
        <f>SUM(2+1+26+34)</f>
        <v>63</v>
      </c>
      <c r="I10" s="58">
        <f>SUM(3+1+2+28+34)</f>
        <v>68</v>
      </c>
      <c r="J10" s="58">
        <f>SUM(1+1+4+2)</f>
        <v>8</v>
      </c>
    </row>
    <row r="11" spans="1:10" x14ac:dyDescent="0.25">
      <c r="A11" s="465"/>
      <c r="B11" s="58">
        <v>2</v>
      </c>
      <c r="C11" s="58">
        <f>SUM(156+109+35+209+0)</f>
        <v>509</v>
      </c>
      <c r="D11" s="58">
        <f>SUM(121+102+35+209)</f>
        <v>467</v>
      </c>
      <c r="E11" s="58">
        <f>SUM(32)</f>
        <v>32</v>
      </c>
      <c r="F11" s="58">
        <f>SUM(3+7)</f>
        <v>10</v>
      </c>
      <c r="G11" s="58">
        <f>SUM(1+1)</f>
        <v>2</v>
      </c>
      <c r="H11" s="58">
        <f>SUM(2+10)</f>
        <v>12</v>
      </c>
      <c r="I11" s="58">
        <f>SUM(4+2+2+9)</f>
        <v>17</v>
      </c>
      <c r="J11" s="58">
        <f>SUM(4+4+10+1)</f>
        <v>19</v>
      </c>
    </row>
    <row r="12" spans="1:10" x14ac:dyDescent="0.25">
      <c r="A12" s="465"/>
      <c r="B12" s="58" t="s">
        <v>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</row>
    <row r="13" spans="1:10" x14ac:dyDescent="0.25">
      <c r="A13" s="466"/>
      <c r="B13" s="58">
        <v>3</v>
      </c>
      <c r="C13" s="58">
        <f>SUM(68+33+3+11+19)</f>
        <v>134</v>
      </c>
      <c r="D13" s="58">
        <f>SUM(57+16+3+11+13)</f>
        <v>100</v>
      </c>
      <c r="E13" s="58">
        <f>SUM(11+2+6)</f>
        <v>19</v>
      </c>
      <c r="F13" s="58">
        <f>SUM(17)</f>
        <v>17</v>
      </c>
      <c r="G13" s="58">
        <v>0</v>
      </c>
      <c r="H13" s="58">
        <f>SUM(2+1+4)</f>
        <v>7</v>
      </c>
      <c r="I13" s="58">
        <f>SUM(1+1+4)</f>
        <v>6</v>
      </c>
      <c r="J13" s="58">
        <f>SUM(3+1+1)</f>
        <v>5</v>
      </c>
    </row>
    <row r="14" spans="1:10" x14ac:dyDescent="0.25">
      <c r="A14" s="536" t="s">
        <v>128</v>
      </c>
      <c r="B14" s="533"/>
      <c r="C14" s="533">
        <f t="shared" ref="C14:J14" si="1">+SUM(C10:C13)</f>
        <v>1411</v>
      </c>
      <c r="D14" s="533">
        <f t="shared" si="1"/>
        <v>1298</v>
      </c>
      <c r="E14" s="533">
        <f t="shared" si="1"/>
        <v>85</v>
      </c>
      <c r="F14" s="533">
        <f t="shared" si="1"/>
        <v>30</v>
      </c>
      <c r="G14" s="533">
        <f t="shared" si="1"/>
        <v>6</v>
      </c>
      <c r="H14" s="533">
        <f t="shared" si="1"/>
        <v>82</v>
      </c>
      <c r="I14" s="533">
        <f t="shared" si="1"/>
        <v>91</v>
      </c>
      <c r="J14" s="533">
        <f t="shared" si="1"/>
        <v>32</v>
      </c>
    </row>
    <row r="15" spans="1:10" x14ac:dyDescent="0.25">
      <c r="A15" s="467" t="s">
        <v>129</v>
      </c>
      <c r="B15" s="534">
        <v>1</v>
      </c>
      <c r="C15" s="534">
        <f>+C5+C10</f>
        <v>960</v>
      </c>
      <c r="D15" s="534">
        <f t="shared" ref="D15:J15" si="2">+D5+D10</f>
        <v>731</v>
      </c>
      <c r="E15" s="534">
        <f t="shared" si="2"/>
        <v>225</v>
      </c>
      <c r="F15" s="534">
        <f t="shared" si="2"/>
        <v>3</v>
      </c>
      <c r="G15" s="534">
        <f t="shared" si="2"/>
        <v>13</v>
      </c>
      <c r="H15" s="534">
        <f t="shared" si="2"/>
        <v>136</v>
      </c>
      <c r="I15" s="534">
        <f t="shared" si="2"/>
        <v>150</v>
      </c>
      <c r="J15" s="534">
        <f t="shared" si="2"/>
        <v>38</v>
      </c>
    </row>
    <row r="16" spans="1:10" x14ac:dyDescent="0.25">
      <c r="A16" s="468"/>
      <c r="B16" s="534">
        <v>2</v>
      </c>
      <c r="C16" s="534">
        <f t="shared" ref="C16:J18" si="3">+C6+C11</f>
        <v>577</v>
      </c>
      <c r="D16" s="534">
        <f t="shared" si="3"/>
        <v>467</v>
      </c>
      <c r="E16" s="534">
        <f t="shared" si="3"/>
        <v>100</v>
      </c>
      <c r="F16" s="534">
        <f t="shared" si="3"/>
        <v>10</v>
      </c>
      <c r="G16" s="534">
        <f t="shared" si="3"/>
        <v>5</v>
      </c>
      <c r="H16" s="534">
        <f t="shared" si="3"/>
        <v>85</v>
      </c>
      <c r="I16" s="534">
        <f t="shared" si="3"/>
        <v>91</v>
      </c>
      <c r="J16" s="534">
        <f t="shared" si="3"/>
        <v>30</v>
      </c>
    </row>
    <row r="17" spans="1:10" x14ac:dyDescent="0.25">
      <c r="A17" s="468"/>
      <c r="B17" s="534" t="s">
        <v>3</v>
      </c>
      <c r="C17" s="534">
        <f t="shared" si="3"/>
        <v>0</v>
      </c>
      <c r="D17" s="534">
        <f t="shared" si="3"/>
        <v>0</v>
      </c>
      <c r="E17" s="534">
        <f t="shared" si="3"/>
        <v>0</v>
      </c>
      <c r="F17" s="534">
        <f t="shared" si="3"/>
        <v>0</v>
      </c>
      <c r="G17" s="534">
        <f t="shared" si="3"/>
        <v>0</v>
      </c>
      <c r="H17" s="534">
        <f t="shared" si="3"/>
        <v>0</v>
      </c>
      <c r="I17" s="534">
        <f t="shared" si="3"/>
        <v>0</v>
      </c>
      <c r="J17" s="534">
        <f t="shared" si="3"/>
        <v>0</v>
      </c>
    </row>
    <row r="18" spans="1:10" x14ac:dyDescent="0.25">
      <c r="A18" s="469"/>
      <c r="B18" s="534">
        <v>3</v>
      </c>
      <c r="C18" s="534">
        <f t="shared" si="3"/>
        <v>150</v>
      </c>
      <c r="D18" s="534">
        <f t="shared" si="3"/>
        <v>100</v>
      </c>
      <c r="E18" s="534">
        <f t="shared" si="3"/>
        <v>34</v>
      </c>
      <c r="F18" s="534">
        <f t="shared" si="3"/>
        <v>18</v>
      </c>
      <c r="G18" s="534">
        <f t="shared" si="3"/>
        <v>2</v>
      </c>
      <c r="H18" s="534">
        <f t="shared" si="3"/>
        <v>18</v>
      </c>
      <c r="I18" s="534">
        <f t="shared" si="3"/>
        <v>17</v>
      </c>
      <c r="J18" s="534">
        <f t="shared" si="3"/>
        <v>12</v>
      </c>
    </row>
    <row r="19" spans="1:10" x14ac:dyDescent="0.25">
      <c r="A19" s="537" t="s">
        <v>34</v>
      </c>
      <c r="B19" s="509"/>
      <c r="C19" s="366">
        <f>+SUM(C15:C18)</f>
        <v>1687</v>
      </c>
      <c r="D19" s="366">
        <f t="shared" ref="D19:J19" si="4">+SUM(D15:D18)</f>
        <v>1298</v>
      </c>
      <c r="E19" s="366">
        <f t="shared" si="4"/>
        <v>359</v>
      </c>
      <c r="F19" s="366">
        <f t="shared" si="4"/>
        <v>31</v>
      </c>
      <c r="G19" s="366">
        <f t="shared" si="4"/>
        <v>20</v>
      </c>
      <c r="H19" s="366">
        <f t="shared" si="4"/>
        <v>239</v>
      </c>
      <c r="I19" s="366">
        <f t="shared" si="4"/>
        <v>258</v>
      </c>
      <c r="J19" s="366">
        <f t="shared" si="4"/>
        <v>80</v>
      </c>
    </row>
    <row r="20" spans="1:10" x14ac:dyDescent="0.25">
      <c r="A20" s="4"/>
      <c r="B20" s="20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20"/>
      <c r="C21" s="4"/>
      <c r="D21" s="4"/>
      <c r="E21" s="4"/>
      <c r="F21" s="4"/>
      <c r="G21" s="4"/>
      <c r="H21" s="4"/>
    </row>
    <row r="22" spans="1:10" x14ac:dyDescent="0.25">
      <c r="A22" s="4"/>
      <c r="B22" s="20"/>
      <c r="C22" s="4"/>
      <c r="D22" s="4"/>
      <c r="E22" s="4"/>
      <c r="F22" s="4"/>
      <c r="G22" s="4"/>
      <c r="H22" s="4"/>
    </row>
  </sheetData>
  <mergeCells count="12">
    <mergeCell ref="A5:A8"/>
    <mergeCell ref="A10:A13"/>
    <mergeCell ref="A15:A18"/>
    <mergeCell ref="A9:B9"/>
    <mergeCell ref="A19:B19"/>
    <mergeCell ref="A2:A4"/>
    <mergeCell ref="A1:J1"/>
    <mergeCell ref="I2:I4"/>
    <mergeCell ref="J2:J4"/>
    <mergeCell ref="B2:E2"/>
    <mergeCell ref="C3:E3"/>
    <mergeCell ref="G2:H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1100436</cp:lastModifiedBy>
  <cp:lastPrinted>2016-04-04T07:35:19Z</cp:lastPrinted>
  <dcterms:created xsi:type="dcterms:W3CDTF">2010-01-11T10:19:31Z</dcterms:created>
  <dcterms:modified xsi:type="dcterms:W3CDTF">2016-04-11T13:27:42Z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